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85" windowHeight="11640" tabRatio="1000" activeTab="1"/>
  </bookViews>
  <sheets>
    <sheet name="נספח 1 - סך התשלומים ששולמו" sheetId="17" r:id="rId1"/>
    <sheet name="נספח 1-כללי" sheetId="18" r:id="rId2"/>
    <sheet name="נספח 1-  אג&quot;ח" sheetId="19" r:id="rId3"/>
    <sheet name="נספח 1- מניות" sheetId="23" r:id="rId4"/>
    <sheet name="נספח 2 - עמלות והוצאות" sheetId="9" r:id="rId5"/>
    <sheet name="נספח 2- כללי" sheetId="10" r:id="rId6"/>
    <sheet name="נספח 2- אג&quot;ח" sheetId="11" r:id="rId7"/>
    <sheet name="נספח 2-מניות" sheetId="22" r:id="rId8"/>
    <sheet name="נספח 3 - עמלות ניהול חיצוני" sheetId="1" r:id="rId9"/>
    <sheet name="נספח 3 - כללי" sheetId="2" r:id="rId10"/>
    <sheet name="נספח 3-אג&quot;ח" sheetId="3" r:id="rId11"/>
    <sheet name="נספח 3 - מניות" sheetId="21" r:id="rId12"/>
  </sheets>
  <calcPr calcId="145621" iterate="1"/>
</workbook>
</file>

<file path=xl/calcChain.xml><?xml version="1.0" encoding="utf-8"?>
<calcChain xmlns="http://schemas.openxmlformats.org/spreadsheetml/2006/main">
  <c r="B27" i="17" l="1"/>
  <c r="B57" i="1"/>
  <c r="B64" i="1"/>
  <c r="D64" i="1" s="1"/>
  <c r="B53" i="1"/>
  <c r="B63" i="2"/>
  <c r="C14" i="23" l="1"/>
  <c r="C15" i="23"/>
  <c r="C26" i="23" s="1"/>
  <c r="C4" i="18"/>
  <c r="C7" i="18"/>
  <c r="C23" i="18"/>
  <c r="C10" i="18"/>
  <c r="C26" i="19"/>
  <c r="C23" i="19"/>
  <c r="C14" i="19"/>
  <c r="C10" i="19"/>
  <c r="C7" i="19"/>
  <c r="C4" i="19"/>
  <c r="B13" i="1"/>
  <c r="E22" i="23"/>
  <c r="E21" i="23"/>
  <c r="E20" i="23"/>
  <c r="E19" i="23"/>
  <c r="E9" i="23"/>
  <c r="E6" i="23"/>
  <c r="C34" i="23"/>
  <c r="C32" i="23"/>
  <c r="C30" i="23"/>
  <c r="C23" i="23"/>
  <c r="C10" i="23"/>
  <c r="C7" i="23"/>
  <c r="C4" i="23"/>
  <c r="B56" i="9"/>
  <c r="E15" i="23" l="1"/>
  <c r="D35" i="9"/>
  <c r="D8" i="9"/>
  <c r="B55" i="10"/>
  <c r="C54" i="10"/>
  <c r="C50" i="10"/>
  <c r="C46" i="10"/>
  <c r="C41" i="10"/>
  <c r="C37" i="10"/>
  <c r="C34" i="10"/>
  <c r="C27" i="10"/>
  <c r="C6" i="10"/>
  <c r="C7" i="10"/>
  <c r="B7" i="10"/>
  <c r="B27" i="10"/>
  <c r="B34" i="10"/>
  <c r="B37" i="10"/>
  <c r="B41" i="10"/>
  <c r="B46" i="10"/>
  <c r="B50" i="10"/>
  <c r="B54" i="10"/>
  <c r="C37" i="11"/>
  <c r="C33" i="11"/>
  <c r="C29" i="11"/>
  <c r="C24" i="11"/>
  <c r="C20" i="11"/>
  <c r="C17" i="11"/>
  <c r="C10" i="11"/>
  <c r="C7" i="11"/>
  <c r="B38" i="11"/>
  <c r="B37" i="11"/>
  <c r="B33" i="11"/>
  <c r="B29" i="11"/>
  <c r="B24" i="11"/>
  <c r="B20" i="11"/>
  <c r="B17" i="11"/>
  <c r="B10" i="11"/>
  <c r="B7" i="11"/>
  <c r="C38" i="22"/>
  <c r="C34" i="22"/>
  <c r="C30" i="22"/>
  <c r="C25" i="22"/>
  <c r="C21" i="22"/>
  <c r="C20" i="22"/>
  <c r="C18" i="22"/>
  <c r="C11" i="22"/>
  <c r="C7" i="22"/>
  <c r="B38" i="22"/>
  <c r="B34" i="22"/>
  <c r="B30" i="22"/>
  <c r="B25" i="22"/>
  <c r="B21" i="22"/>
  <c r="B18" i="22"/>
  <c r="B11" i="22"/>
  <c r="B7" i="22"/>
  <c r="B79" i="21"/>
  <c r="B37" i="21"/>
  <c r="B26" i="21"/>
  <c r="C26" i="21" s="1"/>
  <c r="B23" i="21"/>
  <c r="B19" i="21"/>
  <c r="C19" i="21" s="1"/>
  <c r="B14" i="21"/>
  <c r="C14" i="21" s="1"/>
  <c r="B9" i="21"/>
  <c r="B6" i="21"/>
  <c r="C137" i="2"/>
  <c r="B137" i="2"/>
  <c r="C48" i="2"/>
  <c r="B48" i="2"/>
  <c r="C35" i="2"/>
  <c r="B35" i="2"/>
  <c r="D36" i="1" s="1"/>
  <c r="C30" i="2"/>
  <c r="B30" i="2"/>
  <c r="C25" i="2"/>
  <c r="B25" i="2"/>
  <c r="C20" i="2"/>
  <c r="C7" i="2"/>
  <c r="B20" i="2"/>
  <c r="B7" i="2"/>
  <c r="C8" i="1"/>
  <c r="C26" i="1"/>
  <c r="C31" i="1"/>
  <c r="C36" i="1"/>
  <c r="C49" i="1"/>
  <c r="C140" i="1"/>
  <c r="B140" i="1"/>
  <c r="B49" i="1"/>
  <c r="B36" i="1"/>
  <c r="B31" i="1"/>
  <c r="B26" i="1"/>
  <c r="B21" i="1"/>
  <c r="B8" i="1"/>
  <c r="D8" i="1" s="1"/>
  <c r="B56" i="1"/>
  <c r="B80" i="21"/>
  <c r="C80" i="21" s="1"/>
  <c r="C79" i="21"/>
  <c r="C6" i="21"/>
  <c r="C18" i="21"/>
  <c r="C22" i="21"/>
  <c r="C25" i="21"/>
  <c r="C37" i="21"/>
  <c r="B27" i="21"/>
  <c r="C27" i="21" s="1"/>
  <c r="D21" i="1" l="1"/>
  <c r="D26" i="1"/>
  <c r="C9" i="21"/>
  <c r="D31" i="1"/>
  <c r="C6" i="23"/>
  <c r="D38" i="9"/>
  <c r="D28" i="9"/>
  <c r="C6" i="19"/>
  <c r="C6" i="18"/>
  <c r="B7" i="17"/>
  <c r="C9" i="23" l="1"/>
  <c r="B11" i="9"/>
  <c r="B28" i="9" s="1"/>
  <c r="B10" i="9"/>
  <c r="B137" i="1"/>
  <c r="B135" i="1"/>
  <c r="B133" i="1"/>
  <c r="B131" i="1"/>
  <c r="B128" i="1"/>
  <c r="B126" i="1"/>
  <c r="B125" i="1"/>
  <c r="B121" i="1"/>
  <c r="B120" i="1"/>
  <c r="B119" i="1"/>
  <c r="B116" i="1"/>
  <c r="B115" i="1"/>
  <c r="B111" i="1"/>
  <c r="B110" i="1"/>
  <c r="B109" i="1"/>
  <c r="B108" i="1"/>
  <c r="B106" i="1"/>
  <c r="B103" i="1"/>
  <c r="B101" i="1"/>
  <c r="B100" i="1"/>
  <c r="B99" i="1"/>
  <c r="B95" i="1"/>
  <c r="B94" i="1"/>
  <c r="B93" i="1"/>
  <c r="B91" i="1"/>
  <c r="B90" i="1"/>
  <c r="B88" i="1"/>
  <c r="B83" i="1"/>
  <c r="B81" i="1"/>
  <c r="B79" i="1"/>
  <c r="B78" i="1"/>
  <c r="B77" i="1"/>
  <c r="B75" i="1"/>
  <c r="B72" i="1"/>
  <c r="B71" i="1"/>
  <c r="B69" i="1"/>
  <c r="B68" i="1"/>
  <c r="B67" i="1"/>
  <c r="B62" i="1"/>
  <c r="B63" i="1"/>
  <c r="B42" i="1"/>
  <c r="B35" i="1"/>
  <c r="B34" i="1"/>
  <c r="B20" i="1"/>
  <c r="B19" i="1"/>
  <c r="B18" i="1"/>
  <c r="B17" i="1"/>
  <c r="B16" i="1"/>
  <c r="B15" i="1"/>
  <c r="B14" i="1"/>
  <c r="D140" i="1" l="1"/>
  <c r="C32" i="18" l="1"/>
  <c r="B5" i="2" l="1"/>
  <c r="B6" i="1" s="1"/>
  <c r="B9" i="2"/>
  <c r="B10" i="2"/>
  <c r="B11" i="1" s="1"/>
  <c r="B6" i="2"/>
  <c r="B7" i="1" s="1"/>
  <c r="B11" i="2"/>
  <c r="B12" i="1" s="1"/>
  <c r="B10" i="1" l="1"/>
  <c r="C16" i="18"/>
  <c r="B39" i="3"/>
  <c r="C38" i="3" s="1"/>
  <c r="C32" i="19"/>
  <c r="C28" i="23" l="1"/>
  <c r="B39" i="11"/>
  <c r="C30" i="19"/>
  <c r="B33" i="17"/>
  <c r="B40" i="22"/>
  <c r="D6" i="23"/>
  <c r="C19" i="23"/>
  <c r="B82" i="21"/>
  <c r="B140" i="2"/>
  <c r="B56" i="10" s="1"/>
  <c r="C77" i="21"/>
  <c r="C31" i="21"/>
  <c r="B143" i="1" l="1"/>
  <c r="C30" i="18"/>
  <c r="C34" i="18" s="1"/>
  <c r="C12" i="2"/>
  <c r="B31" i="17"/>
  <c r="B35" i="17" s="1"/>
  <c r="B57" i="9"/>
  <c r="E30" i="18"/>
  <c r="E32" i="18"/>
  <c r="C15" i="18"/>
  <c r="C53" i="1" l="1"/>
  <c r="C57" i="1"/>
  <c r="C13" i="1"/>
  <c r="C21" i="1" s="1"/>
  <c r="C139" i="1"/>
  <c r="C105" i="1"/>
  <c r="C76" i="1"/>
  <c r="C93" i="1"/>
  <c r="C121" i="1"/>
  <c r="C129" i="1"/>
  <c r="C96" i="1"/>
  <c r="C66" i="1"/>
  <c r="C116" i="1"/>
  <c r="C45" i="1"/>
  <c r="C112" i="1"/>
  <c r="C80" i="1"/>
  <c r="C95" i="1"/>
  <c r="C135" i="1"/>
  <c r="C118" i="1"/>
  <c r="C85" i="1"/>
  <c r="C130" i="1"/>
  <c r="C97" i="1"/>
  <c r="C75" i="1"/>
  <c r="C111" i="1"/>
  <c r="C38" i="1"/>
  <c r="C83" i="1"/>
  <c r="C104" i="1"/>
  <c r="C137" i="1"/>
  <c r="C99" i="1"/>
  <c r="C132" i="1"/>
  <c r="C98" i="1"/>
  <c r="C69" i="1"/>
  <c r="C100" i="1"/>
  <c r="C131" i="1"/>
  <c r="C123" i="1"/>
  <c r="C88" i="1"/>
  <c r="C71" i="1"/>
  <c r="C125" i="1"/>
  <c r="C136" i="1"/>
  <c r="C102" i="1"/>
  <c r="C73" i="1"/>
  <c r="C103" i="1"/>
  <c r="C61" i="1"/>
  <c r="C106" i="1"/>
  <c r="C79" i="1"/>
  <c r="C120" i="1"/>
  <c r="C91" i="1"/>
  <c r="C70" i="1"/>
  <c r="C128" i="1"/>
  <c r="C115" i="1"/>
  <c r="C74" i="1"/>
  <c r="C122" i="1"/>
  <c r="C90" i="1"/>
  <c r="C119" i="1"/>
  <c r="C92" i="1"/>
  <c r="C81" i="1"/>
  <c r="C124" i="1"/>
  <c r="C89" i="1"/>
  <c r="C77" i="1"/>
  <c r="C108" i="1"/>
  <c r="C55" i="1"/>
  <c r="C113" i="1"/>
  <c r="C82" i="1"/>
  <c r="C78" i="1"/>
  <c r="C133" i="1"/>
  <c r="C127" i="1"/>
  <c r="C94" i="1"/>
  <c r="C67" i="1"/>
  <c r="C110" i="1"/>
  <c r="C134" i="1"/>
  <c r="C101" i="1"/>
  <c r="C72" i="1"/>
  <c r="C114" i="1"/>
  <c r="C86" i="1"/>
  <c r="C68" i="1"/>
  <c r="C34" i="1"/>
  <c r="C62" i="1"/>
  <c r="C117" i="1"/>
  <c r="C84" i="1"/>
  <c r="C138" i="1"/>
  <c r="C109" i="1"/>
  <c r="C87" i="1"/>
  <c r="C126" i="1"/>
  <c r="C107" i="1"/>
  <c r="C132" i="2"/>
  <c r="C133" i="2"/>
  <c r="C134" i="2"/>
  <c r="C135" i="2"/>
  <c r="C136" i="2"/>
  <c r="C60" i="2"/>
  <c r="C59" i="2"/>
  <c r="B50" i="1"/>
  <c r="D49" i="1" l="1"/>
  <c r="C22" i="18"/>
  <c r="C50" i="1"/>
  <c r="B138" i="2"/>
  <c r="C72" i="21" l="1"/>
  <c r="C74" i="21"/>
  <c r="C75" i="21"/>
  <c r="C23" i="21" l="1"/>
  <c r="C54" i="2"/>
  <c r="C47" i="2"/>
  <c r="C78" i="21"/>
  <c r="C73" i="21"/>
  <c r="C76" i="21"/>
  <c r="C18" i="10"/>
  <c r="C19" i="10"/>
  <c r="C20" i="10"/>
  <c r="C21" i="10"/>
  <c r="C22" i="10"/>
  <c r="C23" i="10"/>
  <c r="C24" i="10"/>
  <c r="B28" i="10"/>
  <c r="C33" i="2"/>
  <c r="C125" i="2"/>
  <c r="C126" i="2"/>
  <c r="C127" i="2"/>
  <c r="C128" i="2"/>
  <c r="C129" i="2"/>
  <c r="C130" i="2"/>
  <c r="B49" i="2" l="1"/>
  <c r="C18" i="2"/>
  <c r="C19" i="2"/>
  <c r="C61" i="21" l="1"/>
  <c r="C62" i="21"/>
  <c r="C63" i="21"/>
  <c r="C33" i="21"/>
  <c r="C34" i="21"/>
  <c r="C35" i="21"/>
  <c r="C17" i="10"/>
  <c r="C25" i="10"/>
  <c r="C26" i="10"/>
  <c r="C124" i="2"/>
  <c r="C131" i="2"/>
  <c r="C55" i="2"/>
  <c r="C18" i="1" l="1"/>
  <c r="C19" i="1"/>
  <c r="C17" i="1"/>
  <c r="C20" i="1"/>
  <c r="B141" i="1" l="1"/>
  <c r="C39" i="3"/>
  <c r="C140" i="2"/>
  <c r="D30" i="18"/>
  <c r="C141" i="1" l="1"/>
  <c r="B81" i="21"/>
  <c r="C17" i="2"/>
  <c r="C48" i="1" l="1"/>
  <c r="C46" i="2"/>
  <c r="C14" i="2" l="1"/>
  <c r="C15" i="2"/>
  <c r="C16" i="2" l="1"/>
  <c r="C122" i="2" l="1"/>
  <c r="C123" i="2"/>
  <c r="C59" i="21"/>
  <c r="C60" i="21"/>
  <c r="C64" i="21"/>
  <c r="C65" i="21"/>
  <c r="C66" i="21"/>
  <c r="C67" i="21"/>
  <c r="C68" i="21"/>
  <c r="C69" i="21"/>
  <c r="C70" i="21"/>
  <c r="C71" i="21"/>
  <c r="C34" i="19"/>
  <c r="B8" i="9" l="1"/>
  <c r="C119" i="2"/>
  <c r="C120" i="2"/>
  <c r="C121" i="2"/>
  <c r="C44" i="2" l="1"/>
  <c r="C45" i="2"/>
  <c r="C13" i="2" l="1"/>
  <c r="C58" i="2" l="1"/>
  <c r="C61" i="2"/>
  <c r="C62" i="2"/>
  <c r="C42" i="2"/>
  <c r="C43" i="2"/>
  <c r="C57" i="2" l="1"/>
  <c r="C36" i="21"/>
  <c r="B13" i="17" l="1"/>
  <c r="C14" i="10"/>
  <c r="C15" i="10"/>
  <c r="C16" i="10"/>
  <c r="C12" i="1" l="1"/>
  <c r="C14" i="1"/>
  <c r="C15" i="1"/>
  <c r="C7" i="1"/>
  <c r="C46" i="1"/>
  <c r="C47" i="1"/>
  <c r="C16" i="1"/>
  <c r="C11" i="1"/>
  <c r="C63" i="1"/>
  <c r="C60" i="1"/>
  <c r="C59" i="1"/>
  <c r="C44" i="1"/>
  <c r="B37" i="9"/>
  <c r="C39" i="2" l="1"/>
  <c r="C40" i="2"/>
  <c r="C41" i="2"/>
  <c r="C118" i="2"/>
  <c r="E31" i="23"/>
  <c r="E30" i="23"/>
  <c r="E27" i="23"/>
  <c r="E12" i="23"/>
  <c r="E32" i="19"/>
  <c r="E31" i="19"/>
  <c r="E30" i="19"/>
  <c r="E27" i="19"/>
  <c r="E12" i="19"/>
  <c r="E12" i="18"/>
  <c r="E27" i="18"/>
  <c r="E31" i="18"/>
  <c r="C22" i="23" l="1"/>
  <c r="C21" i="23"/>
  <c r="C18" i="23"/>
  <c r="E18" i="23" s="1"/>
  <c r="C17" i="23"/>
  <c r="E17" i="23" s="1"/>
  <c r="C16" i="23"/>
  <c r="E16" i="23" s="1"/>
  <c r="C10" i="22"/>
  <c r="C25" i="23"/>
  <c r="E25" i="23" s="1"/>
  <c r="C24" i="23"/>
  <c r="C13" i="23"/>
  <c r="E13" i="23" s="1"/>
  <c r="C11" i="23"/>
  <c r="C8" i="23"/>
  <c r="C5" i="23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39" i="21"/>
  <c r="C20" i="23"/>
  <c r="C32" i="21"/>
  <c r="E32" i="23"/>
  <c r="B23" i="17" l="1"/>
  <c r="B16" i="17"/>
  <c r="E5" i="23"/>
  <c r="E11" i="23"/>
  <c r="E8" i="23"/>
  <c r="E24" i="23"/>
  <c r="B12" i="22"/>
  <c r="B22" i="22"/>
  <c r="C22" i="19"/>
  <c r="E22" i="19" s="1"/>
  <c r="C21" i="19"/>
  <c r="E21" i="19" s="1"/>
  <c r="C20" i="19"/>
  <c r="E20" i="19" s="1"/>
  <c r="C18" i="19"/>
  <c r="E18" i="19" s="1"/>
  <c r="C17" i="19"/>
  <c r="E17" i="19" s="1"/>
  <c r="C16" i="19"/>
  <c r="E16" i="19" s="1"/>
  <c r="C15" i="19"/>
  <c r="C25" i="19"/>
  <c r="E25" i="19" s="1"/>
  <c r="C24" i="19"/>
  <c r="C13" i="19"/>
  <c r="E13" i="19" s="1"/>
  <c r="C11" i="19"/>
  <c r="C28" i="19" s="1"/>
  <c r="C9" i="19"/>
  <c r="C8" i="19"/>
  <c r="C5" i="19"/>
  <c r="E6" i="19"/>
  <c r="E9" i="19" l="1"/>
  <c r="B39" i="22"/>
  <c r="C29" i="23"/>
  <c r="E28" i="23"/>
  <c r="E11" i="19"/>
  <c r="E15" i="19"/>
  <c r="E5" i="19"/>
  <c r="E8" i="19"/>
  <c r="E24" i="19"/>
  <c r="B11" i="11"/>
  <c r="B21" i="11"/>
  <c r="E26" i="23" l="1"/>
  <c r="E29" i="23" s="1"/>
  <c r="C56" i="2"/>
  <c r="C63" i="2" s="1"/>
  <c r="C28" i="10" l="1"/>
  <c r="C5" i="18"/>
  <c r="B5" i="17" s="1"/>
  <c r="B38" i="10"/>
  <c r="D56" i="9" s="1"/>
  <c r="C21" i="18"/>
  <c r="B22" i="17" s="1"/>
  <c r="C18" i="18"/>
  <c r="B19" i="17" s="1"/>
  <c r="B30" i="1"/>
  <c r="B29" i="1"/>
  <c r="B28" i="1"/>
  <c r="B25" i="1"/>
  <c r="B24" i="1"/>
  <c r="B23" i="1"/>
  <c r="C23" i="1" s="1"/>
  <c r="B41" i="9"/>
  <c r="B42" i="9" s="1"/>
  <c r="B38" i="9"/>
  <c r="B32" i="17"/>
  <c r="B35" i="9"/>
  <c r="C20" i="18"/>
  <c r="C25" i="18"/>
  <c r="C24" i="18"/>
  <c r="C13" i="18"/>
  <c r="B14" i="17" s="1"/>
  <c r="C11" i="18"/>
  <c r="C9" i="18"/>
  <c r="C8" i="18"/>
  <c r="B33" i="3"/>
  <c r="C19" i="19" s="1"/>
  <c r="C29" i="19" s="1"/>
  <c r="D12" i="18"/>
  <c r="D30" i="19"/>
  <c r="D25" i="19"/>
  <c r="D24" i="19"/>
  <c r="D22" i="19"/>
  <c r="D21" i="19"/>
  <c r="D20" i="19"/>
  <c r="D18" i="19"/>
  <c r="D17" i="19"/>
  <c r="D16" i="19"/>
  <c r="D15" i="19"/>
  <c r="D13" i="19"/>
  <c r="D12" i="19"/>
  <c r="D11" i="19"/>
  <c r="D9" i="19"/>
  <c r="D8" i="19"/>
  <c r="D6" i="19"/>
  <c r="D5" i="19"/>
  <c r="D30" i="23"/>
  <c r="D25" i="23"/>
  <c r="D22" i="23"/>
  <c r="D21" i="23"/>
  <c r="D20" i="23"/>
  <c r="D19" i="23"/>
  <c r="D18" i="23"/>
  <c r="D17" i="23"/>
  <c r="D16" i="23"/>
  <c r="D15" i="23"/>
  <c r="D13" i="23"/>
  <c r="D12" i="23"/>
  <c r="D11" i="23"/>
  <c r="D9" i="23"/>
  <c r="D8" i="23"/>
  <c r="D5" i="23"/>
  <c r="C9" i="10"/>
  <c r="C10" i="10"/>
  <c r="C11" i="10"/>
  <c r="C12" i="10"/>
  <c r="C13" i="10"/>
  <c r="C31" i="10"/>
  <c r="C32" i="10"/>
  <c r="C33" i="10"/>
  <c r="C36" i="10"/>
  <c r="C40" i="10"/>
  <c r="C43" i="10"/>
  <c r="C44" i="10"/>
  <c r="C45" i="10"/>
  <c r="C48" i="10"/>
  <c r="C49" i="10"/>
  <c r="C52" i="10"/>
  <c r="C53" i="10"/>
  <c r="C56" i="10"/>
  <c r="C9" i="11"/>
  <c r="C11" i="11"/>
  <c r="C14" i="11"/>
  <c r="C15" i="11"/>
  <c r="C16" i="11"/>
  <c r="C19" i="11"/>
  <c r="C21" i="11"/>
  <c r="C23" i="11"/>
  <c r="C26" i="11"/>
  <c r="C27" i="11"/>
  <c r="C28" i="11"/>
  <c r="C31" i="11"/>
  <c r="C32" i="11"/>
  <c r="C35" i="11"/>
  <c r="C36" i="11"/>
  <c r="C38" i="11"/>
  <c r="C39" i="11"/>
  <c r="C6" i="11"/>
  <c r="C9" i="22"/>
  <c r="C12" i="22"/>
  <c r="C15" i="22"/>
  <c r="C16" i="22"/>
  <c r="C17" i="22"/>
  <c r="C22" i="22"/>
  <c r="C24" i="22"/>
  <c r="C27" i="22"/>
  <c r="C28" i="22"/>
  <c r="C29" i="22"/>
  <c r="C32" i="22"/>
  <c r="C33" i="22"/>
  <c r="C36" i="22"/>
  <c r="C37" i="22"/>
  <c r="C39" i="22"/>
  <c r="C40" i="22"/>
  <c r="C6" i="22"/>
  <c r="C24" i="2"/>
  <c r="C37" i="2"/>
  <c r="C66" i="2"/>
  <c r="C74" i="2"/>
  <c r="C82" i="2"/>
  <c r="C90" i="2"/>
  <c r="C98" i="2"/>
  <c r="C106" i="2"/>
  <c r="C114" i="2"/>
  <c r="C6" i="3"/>
  <c r="C8" i="3"/>
  <c r="C9" i="3"/>
  <c r="C11" i="3"/>
  <c r="C12" i="3"/>
  <c r="C13" i="3"/>
  <c r="C14" i="3"/>
  <c r="C16" i="3"/>
  <c r="C17" i="3"/>
  <c r="C18" i="3"/>
  <c r="C19" i="3"/>
  <c r="C22" i="3"/>
  <c r="C23" i="3"/>
  <c r="C25" i="3"/>
  <c r="C26" i="3"/>
  <c r="C27" i="3"/>
  <c r="C30" i="3"/>
  <c r="C31" i="3"/>
  <c r="C32" i="3"/>
  <c r="C35" i="3"/>
  <c r="C36" i="3"/>
  <c r="C37" i="3"/>
  <c r="C5" i="3"/>
  <c r="C8" i="21"/>
  <c r="C11" i="21"/>
  <c r="C12" i="21"/>
  <c r="C13" i="21"/>
  <c r="C16" i="21"/>
  <c r="C17" i="21"/>
  <c r="C30" i="21"/>
  <c r="C81" i="21"/>
  <c r="C82" i="21"/>
  <c r="C5" i="21"/>
  <c r="B10" i="17" l="1"/>
  <c r="C10" i="17" s="1"/>
  <c r="B139" i="2"/>
  <c r="B21" i="17"/>
  <c r="C21" i="17" s="1"/>
  <c r="C21" i="9"/>
  <c r="C25" i="9"/>
  <c r="C22" i="9"/>
  <c r="C26" i="9"/>
  <c r="C23" i="9"/>
  <c r="C24" i="9"/>
  <c r="C14" i="9"/>
  <c r="C18" i="9"/>
  <c r="C27" i="9"/>
  <c r="C11" i="9"/>
  <c r="C12" i="9"/>
  <c r="C16" i="9"/>
  <c r="C20" i="9"/>
  <c r="C15" i="9"/>
  <c r="C13" i="9"/>
  <c r="C17" i="9"/>
  <c r="C19" i="9"/>
  <c r="C7" i="9"/>
  <c r="C8" i="9" s="1"/>
  <c r="C17" i="18"/>
  <c r="XFD37" i="21"/>
  <c r="C31" i="17"/>
  <c r="C55" i="10"/>
  <c r="D5" i="18"/>
  <c r="B6" i="17"/>
  <c r="C6" i="17" s="1"/>
  <c r="B12" i="17"/>
  <c r="C12" i="17" s="1"/>
  <c r="D8" i="18"/>
  <c r="B9" i="17"/>
  <c r="C9" i="17" s="1"/>
  <c r="B25" i="17"/>
  <c r="C25" i="17" s="1"/>
  <c r="D25" i="18"/>
  <c r="B26" i="17"/>
  <c r="C26" i="17" s="1"/>
  <c r="C38" i="10"/>
  <c r="B39" i="9"/>
  <c r="C39" i="9" s="1"/>
  <c r="C49" i="2"/>
  <c r="C35" i="9"/>
  <c r="E8" i="18"/>
  <c r="E24" i="18"/>
  <c r="E6" i="18"/>
  <c r="C14" i="17"/>
  <c r="E13" i="18"/>
  <c r="E5" i="18"/>
  <c r="E9" i="18"/>
  <c r="E25" i="18"/>
  <c r="D11" i="18"/>
  <c r="E11" i="18"/>
  <c r="C22" i="17"/>
  <c r="E21" i="18"/>
  <c r="E20" i="18"/>
  <c r="D18" i="18"/>
  <c r="E18" i="18"/>
  <c r="C138" i="2"/>
  <c r="C23" i="17"/>
  <c r="E22" i="18"/>
  <c r="E19" i="19"/>
  <c r="E28" i="19" s="1"/>
  <c r="E26" i="19"/>
  <c r="E29" i="19" s="1"/>
  <c r="C33" i="3"/>
  <c r="D9" i="18"/>
  <c r="D24" i="18"/>
  <c r="D6" i="18"/>
  <c r="C7" i="17"/>
  <c r="D22" i="18"/>
  <c r="C110" i="2"/>
  <c r="C102" i="2"/>
  <c r="C94" i="2"/>
  <c r="C86" i="2"/>
  <c r="C78" i="2"/>
  <c r="C70" i="2"/>
  <c r="C52" i="2"/>
  <c r="C29" i="2"/>
  <c r="C9" i="2"/>
  <c r="C113" i="2"/>
  <c r="C105" i="2"/>
  <c r="C97" i="2"/>
  <c r="C89" i="2"/>
  <c r="C81" i="2"/>
  <c r="C73" i="2"/>
  <c r="C65" i="2"/>
  <c r="C23" i="2"/>
  <c r="C117" i="2"/>
  <c r="C109" i="2"/>
  <c r="C101" i="2"/>
  <c r="C93" i="2"/>
  <c r="C85" i="2"/>
  <c r="C77" i="2"/>
  <c r="C69" i="2"/>
  <c r="C28" i="2"/>
  <c r="D20" i="18"/>
  <c r="C116" i="2"/>
  <c r="C112" i="2"/>
  <c r="C108" i="2"/>
  <c r="C104" i="2"/>
  <c r="C100" i="2"/>
  <c r="C96" i="2"/>
  <c r="C92" i="2"/>
  <c r="C88" i="2"/>
  <c r="C84" i="2"/>
  <c r="C80" i="2"/>
  <c r="C76" i="2"/>
  <c r="C72" i="2"/>
  <c r="C68" i="2"/>
  <c r="C34" i="2"/>
  <c r="C27" i="2"/>
  <c r="C22" i="2"/>
  <c r="C19" i="18"/>
  <c r="C115" i="2"/>
  <c r="C111" i="2"/>
  <c r="C107" i="2"/>
  <c r="C103" i="2"/>
  <c r="C99" i="2"/>
  <c r="C95" i="2"/>
  <c r="C91" i="2"/>
  <c r="C87" i="2"/>
  <c r="C83" i="2"/>
  <c r="C79" i="2"/>
  <c r="C75" i="2"/>
  <c r="C71" i="2"/>
  <c r="C67" i="2"/>
  <c r="C53" i="2"/>
  <c r="C38" i="2"/>
  <c r="C19" i="17"/>
  <c r="C41" i="9"/>
  <c r="C37" i="9"/>
  <c r="C38" i="9"/>
  <c r="C28" i="17"/>
  <c r="C13" i="17"/>
  <c r="C57" i="9"/>
  <c r="C53" i="9"/>
  <c r="C47" i="9"/>
  <c r="C32" i="9"/>
  <c r="C42" i="9"/>
  <c r="C54" i="9"/>
  <c r="C49" i="9"/>
  <c r="C44" i="9"/>
  <c r="C33" i="9"/>
  <c r="C55" i="9"/>
  <c r="C50" i="9"/>
  <c r="C45" i="9"/>
  <c r="C34" i="9"/>
  <c r="C51" i="9"/>
  <c r="C46" i="9"/>
  <c r="D21" i="18"/>
  <c r="D13" i="18"/>
  <c r="D28" i="19"/>
  <c r="D19" i="19"/>
  <c r="D28" i="23"/>
  <c r="D24" i="23"/>
  <c r="C14" i="18" l="1"/>
  <c r="C26" i="18" s="1"/>
  <c r="C28" i="18"/>
  <c r="B142" i="1"/>
  <c r="B20" i="17"/>
  <c r="C20" i="17" s="1"/>
  <c r="B18" i="17"/>
  <c r="C18" i="17" s="1"/>
  <c r="D17" i="18"/>
  <c r="E17" i="18"/>
  <c r="C5" i="17"/>
  <c r="B24" i="17"/>
  <c r="C24" i="17" s="1"/>
  <c r="C6" i="1"/>
  <c r="C43" i="1"/>
  <c r="C42" i="1"/>
  <c r="C41" i="1"/>
  <c r="E19" i="18"/>
  <c r="D29" i="19"/>
  <c r="B8" i="17"/>
  <c r="C8" i="17" s="1"/>
  <c r="B11" i="17"/>
  <c r="C11" i="17" s="1"/>
  <c r="C143" i="1"/>
  <c r="C29" i="1"/>
  <c r="C58" i="1"/>
  <c r="C39" i="1"/>
  <c r="C28" i="1"/>
  <c r="C25" i="1"/>
  <c r="C54" i="1"/>
  <c r="D19" i="18"/>
  <c r="C30" i="1"/>
  <c r="C24" i="1"/>
  <c r="C40" i="1"/>
  <c r="C56" i="1"/>
  <c r="C64" i="1" s="1"/>
  <c r="D26" i="19"/>
  <c r="D26" i="23"/>
  <c r="C35" i="1"/>
  <c r="C10" i="1"/>
  <c r="C29" i="18" l="1"/>
  <c r="D29" i="23"/>
  <c r="C142" i="1" l="1"/>
  <c r="C5" i="2" l="1"/>
  <c r="C10" i="9" l="1"/>
  <c r="C28" i="9" s="1"/>
  <c r="B29" i="9"/>
  <c r="C29" i="9" l="1"/>
  <c r="C56" i="9"/>
  <c r="C11" i="2" l="1"/>
  <c r="C10" i="2"/>
  <c r="B17" i="17" l="1"/>
  <c r="B29" i="17" s="1"/>
  <c r="D16" i="18" l="1"/>
  <c r="E16" i="18"/>
  <c r="C17" i="17"/>
  <c r="C6" i="2"/>
  <c r="C139" i="2" l="1"/>
  <c r="D28" i="18" l="1"/>
  <c r="D15" i="18"/>
  <c r="E15" i="18"/>
  <c r="B15" i="17" l="1"/>
  <c r="C15" i="17" s="1"/>
  <c r="E26" i="18"/>
  <c r="E29" i="18" s="1"/>
  <c r="E28" i="18"/>
  <c r="C16" i="17"/>
  <c r="C29" i="17"/>
  <c r="B30" i="17" l="1"/>
  <c r="D29" i="18"/>
  <c r="D26" i="18"/>
  <c r="C27" i="17" l="1"/>
  <c r="C30" i="17"/>
</calcChain>
</file>

<file path=xl/comments1.xml><?xml version="1.0" encoding="utf-8"?>
<comments xmlns="http://schemas.openxmlformats.org/spreadsheetml/2006/main">
  <authors>
    <author>Cnafo Lior</author>
  </authors>
  <commentList>
    <comment ref="B82" authorId="0">
      <text>
        <r>
          <rPr>
            <b/>
            <sz val="8"/>
            <color indexed="81"/>
            <rFont val="Tahoma"/>
            <family val="2"/>
          </rPr>
          <t>Cnafo Lior:</t>
        </r>
        <r>
          <rPr>
            <sz val="8"/>
            <color indexed="81"/>
            <rFont val="Tahoma"/>
            <family val="2"/>
          </rPr>
          <t xml:space="preserve">
בהתאם לדוח חודשי 12.19 מוקפא
</t>
        </r>
      </text>
    </comment>
  </commentList>
</comments>
</file>

<file path=xl/sharedStrings.xml><?xml version="1.0" encoding="utf-8"?>
<sst xmlns="http://schemas.openxmlformats.org/spreadsheetml/2006/main" count="822" uniqueCount="259">
  <si>
    <t>תאור</t>
  </si>
  <si>
    <t>אלפי ש''ח</t>
  </si>
  <si>
    <t>שיעור אחזקה</t>
  </si>
  <si>
    <t>תשלום הנובע מהשקעה בקרנות השקעה בישראלים</t>
  </si>
  <si>
    <t>פרוט מהשקעות בקרנות השקעה בישראל</t>
  </si>
  <si>
    <t>סך תשלומים הנובעים מהשקעה בקרנות השקעה בישראלים</t>
  </si>
  <si>
    <t>תשלום הנובע מהשקעה בקרנות השקעה בחו"ל</t>
  </si>
  <si>
    <t>פרוט מהשקעות בקרנות השקעה בחו"ל</t>
  </si>
  <si>
    <t>סך תשלומים הנובעים מהשקעה בקרנות השקעה בחו"ל</t>
  </si>
  <si>
    <t>תשלום למנהל תיקים ישראלי</t>
  </si>
  <si>
    <t>גוף/יחיד א</t>
  </si>
  <si>
    <t>גוף/יחיד ב</t>
  </si>
  <si>
    <t>אחרים</t>
  </si>
  <si>
    <t>סך תשלומים למנהלי תיקים ישראליים</t>
  </si>
  <si>
    <t>תשלום למנהל תיקים זר</t>
  </si>
  <si>
    <t>סך תשלומים למנהלי תיקים זרים</t>
  </si>
  <si>
    <t>תשלום בגין השקעה בקרנות נאמנות</t>
  </si>
  <si>
    <t>קרן נאמנות ישראלים</t>
  </si>
  <si>
    <t>פרוט קרנות נאמנות ישראלי</t>
  </si>
  <si>
    <t>סה"כ קרן נאמנות ישראלים</t>
  </si>
  <si>
    <t>קרן חוץ</t>
  </si>
  <si>
    <t>סה"כ קרנות נאמנות חוץ</t>
  </si>
  <si>
    <t>סך תשלומים בגין השקעה בקרנות נאמנות</t>
  </si>
  <si>
    <t>תשלום בגין השקעה בתעודות סל</t>
  </si>
  <si>
    <t>תעודות סל ישראלים</t>
  </si>
  <si>
    <t>תכלית תעודת סל</t>
  </si>
  <si>
    <t>הראל סל</t>
  </si>
  <si>
    <t>סה"כ תעודות סל ישראלים</t>
  </si>
  <si>
    <t>תעודות סל זרה</t>
  </si>
  <si>
    <t>HEALTH CARE SELECT SECTOR</t>
  </si>
  <si>
    <t>FINANCIAL SELECT SECTOR S</t>
  </si>
  <si>
    <t>ISHARES MSCI SOUTH KOREA</t>
  </si>
  <si>
    <t>JAPAN SMALLER CAPITALIZAT</t>
  </si>
  <si>
    <t>CONSUMER DISCRETIONARY SE</t>
  </si>
  <si>
    <t>ENERGY SELECT SECTOR SPDR</t>
  </si>
  <si>
    <t>UTILITIES SELECT SECTOR S</t>
  </si>
  <si>
    <t>WISDOMTREE INDIA EARNINGS</t>
  </si>
  <si>
    <t>SPDR S&amp;P HOMEBUILDERS ETF</t>
  </si>
  <si>
    <t>SPDR S&amp;P CHINA ETF</t>
  </si>
  <si>
    <t>GLOBAL X CHINA CONSUMER E</t>
  </si>
  <si>
    <t>WISDOMTREE JAPAN HEDGED E</t>
  </si>
  <si>
    <t>VANGUARD S&amp;P 500 ETF</t>
  </si>
  <si>
    <t>SPDR S&amp;P INSURANCE ETF</t>
  </si>
  <si>
    <t>ISHARES CHINA LARGE-CAP E</t>
  </si>
  <si>
    <t>ISHARES U.S. OIL EQUIPMEN</t>
  </si>
  <si>
    <t>ISHARES MSCI FRANCE ETF</t>
  </si>
  <si>
    <t>ISHARES MSCI ALL COUNTRY</t>
  </si>
  <si>
    <t>סה"כ תעודות סל זרות</t>
  </si>
  <si>
    <t>סך תשלומים בגין השקעה בתעודות סל</t>
  </si>
  <si>
    <t>סך הכול עמלות ניהול חיצוני</t>
  </si>
  <si>
    <t>סך הכל נכסים לסוף תקופה</t>
  </si>
  <si>
    <t>ברוקרז-עמלות קניה ומכירה בגין עסקאות בני"ע סחירים</t>
  </si>
  <si>
    <t>צדדים קשורים</t>
  </si>
  <si>
    <t>פרוט צדדים קשורים - ברוקרים</t>
  </si>
  <si>
    <t>סה"כ לצדדים קשורים</t>
  </si>
  <si>
    <t>צדדים שאינם קשורים</t>
  </si>
  <si>
    <t>MERRILL LYNCH</t>
  </si>
  <si>
    <t>אי.בי.אי</t>
  </si>
  <si>
    <t>סה"כ לצדדים שאינם קשורים</t>
  </si>
  <si>
    <t>סך עמלות ברוקרז</t>
  </si>
  <si>
    <t>עמלות קסטודיאן</t>
  </si>
  <si>
    <t>קסטודיאן א</t>
  </si>
  <si>
    <t>קסטודיאן ב</t>
  </si>
  <si>
    <t>פועלים סהר</t>
  </si>
  <si>
    <t>סך עמלות קסטודיאן</t>
  </si>
  <si>
    <t>הוצאות הנובעת מהשקעה בני"ע לא סחירים או ממתן הלוואה</t>
  </si>
  <si>
    <t>סך הוצאות הנובעות מהשקעה בני"ע לא סחירים וממתן הלוואה</t>
  </si>
  <si>
    <t>הוצאה הנובעת מהשקעה בזכויות במקרקעין</t>
  </si>
  <si>
    <t>סך הוצאות הנובעות מהשקעה בזכויות במקרקעין</t>
  </si>
  <si>
    <t>הוצאה הנובעת בעד ניהול תביעה או תובנה</t>
  </si>
  <si>
    <t>סך הוצאות הנובעות בעד ניהול תביעה או תובנה</t>
  </si>
  <si>
    <t>הוצאה הנובעת ממתן משכנתא</t>
  </si>
  <si>
    <t>סך הוצאות בעד מתן משכנתאות</t>
  </si>
  <si>
    <t>סך הכול עמלות והוצאות</t>
  </si>
  <si>
    <t>הערה(*) הסכום כולל עמלת ברוקרז חו"ל ועמלת סוכן</t>
  </si>
  <si>
    <t xml:space="preserve">                     </t>
  </si>
  <si>
    <t xml:space="preserve">       </t>
  </si>
  <si>
    <t>1. סה"כ עמלות קניה ומכירה</t>
  </si>
  <si>
    <t>א. סך עמלות קניה ומכירה לצדדים קשורים</t>
  </si>
  <si>
    <t>ב. סך עמלות קניה ומכירה לצדדים שאינם קשורים</t>
  </si>
  <si>
    <t>2. סה"כ עמלות קסטודיאן</t>
  </si>
  <si>
    <t>א. סך עמלות קסטודיאן לצדדים קשורים</t>
  </si>
  <si>
    <t>ב. סך עמלות קסטודיאן לצדדים שאינם קשורים</t>
  </si>
  <si>
    <t>3. סה"כ מהשקעות לא סחירות</t>
  </si>
  <si>
    <t>א. סך הוצאות הנובעות מהשקעה בני"ע לא סחירים שאינם לצורך מימון פרויקטים</t>
  </si>
  <si>
    <t>ב. סך הוצאות הנובעות ממימון פרויקטים לתשתיות</t>
  </si>
  <si>
    <t>ג. סך הוצאות הנובעות מהשקעה בזכויות מקרקעין</t>
  </si>
  <si>
    <t>4. סה"כ עמלות ניהול חיצוני</t>
  </si>
  <si>
    <t>א. סך תשלומים הנובעים מהשקעה בקרנות השקעה בישראל</t>
  </si>
  <si>
    <t>ב. סך תשלומים הנובעים מהשקעה בקרנות השקעה בחו"ל</t>
  </si>
  <si>
    <t>ג. סך תשלומים למנהלי תיקים ישראלים בגין השקעות בחו"ל</t>
  </si>
  <si>
    <t>ד. סך תשלומים למנהלי תיקים זרים</t>
  </si>
  <si>
    <t>ה. סך תשלומים בגין השקעה בתעודות סל ישראליות</t>
  </si>
  <si>
    <t>ו. סך תשלומים בגין השקעה בתעודות סל זרות</t>
  </si>
  <si>
    <t>ז. סך תשלומים בגין השקעה בקרנות נאמנות ישראליות</t>
  </si>
  <si>
    <t>ח. סך תשלומים בגין השקעה בקרנות נאמנות זרות</t>
  </si>
  <si>
    <t>5. סה"כ הוצאות אחרות</t>
  </si>
  <si>
    <t>א. סך הוצאות בעד ניהול תביעות</t>
  </si>
  <si>
    <t>ב. סך הוצאות בעד מתן משכנתאות</t>
  </si>
  <si>
    <t>6. סה"כ הכול הוצאות ישירות</t>
  </si>
  <si>
    <t>7. שיעור הוצאות ישירות</t>
  </si>
  <si>
    <t>פרוט קרנות נאמנות חו"ל</t>
  </si>
  <si>
    <t>פרוט תעודות סל חו"ל</t>
  </si>
  <si>
    <t>קסם סל</t>
  </si>
  <si>
    <t>סך הכל נכסים לסוף שנה קודמת</t>
  </si>
  <si>
    <t>ISHARES MSCI JAPAN ETF</t>
  </si>
  <si>
    <t>סך הכל עמלות ניהול חיצוני</t>
  </si>
  <si>
    <t xml:space="preserve"> קרן אקדמאים מצרפי - נספח 2</t>
  </si>
  <si>
    <t xml:space="preserve"> קרן אקדמאים מצרפי - נספח 1</t>
  </si>
  <si>
    <t xml:space="preserve"> קרן אקדמאים מצרפי - נספח 3</t>
  </si>
  <si>
    <t>שווי בשקלים</t>
  </si>
  <si>
    <t>VANGUARD FTSE EMERGING MA</t>
  </si>
  <si>
    <t>REAL ESTATE SELECT SECT S</t>
  </si>
  <si>
    <t>COLUMBIA EMERGING MARKETS</t>
  </si>
  <si>
    <t>ISHARES CORE DAX UCITS ET</t>
  </si>
  <si>
    <t>ISHARES MSCI INDIA ETF</t>
  </si>
  <si>
    <t>WISDOMTREE EUROPE HEDGED</t>
  </si>
  <si>
    <t>VANGUARD FINANCIALS ETF</t>
  </si>
  <si>
    <t>ISHARES NASDAQ BIOTECHNOL</t>
  </si>
  <si>
    <t>בנק הפועלים</t>
  </si>
  <si>
    <t>ISHARES MDAX UCITS ETF DE</t>
  </si>
  <si>
    <t>ISHARES CORE MSCI EMERGIN</t>
  </si>
  <si>
    <t>AVIVA INV-EURPN EQ INC FD</t>
  </si>
  <si>
    <t>INDUSTRIAL SELECT SECT SP</t>
  </si>
  <si>
    <t>SPDR DJIA TRUST</t>
  </si>
  <si>
    <t>TECHNOLOGY SELECT SECT SP</t>
  </si>
  <si>
    <t>CONSUMER STAPLES SPDR</t>
  </si>
  <si>
    <t>AVIVA INV-EUROPN EQ-IE</t>
  </si>
  <si>
    <t>AVIVA-GL INV GR CO BD-I U</t>
  </si>
  <si>
    <t>AVIVA INV-GLB HY BND-I US</t>
  </si>
  <si>
    <t>PIMCO SHRT HIYI CORP-USD</t>
  </si>
  <si>
    <t>ISHARES U.S. AEROSPACE &amp;</t>
  </si>
  <si>
    <t>HANG SENG H-SHARE IND ETF</t>
  </si>
  <si>
    <t>WISDOMTREE EM SMALL CAP</t>
  </si>
  <si>
    <t>ISH EUR600 FOOD&amp;BEVERAGE</t>
  </si>
  <si>
    <t>SOURCE JPX-NKY 400 USD HD</t>
  </si>
  <si>
    <t>SPDR S&amp;P 500 ETF TRUST</t>
  </si>
  <si>
    <t>ISHARES RUSSELL 2000 ETF</t>
  </si>
  <si>
    <t>קוד לאוצר</t>
  </si>
  <si>
    <t>YT100</t>
  </si>
  <si>
    <t>YT101</t>
  </si>
  <si>
    <t>YT102</t>
  </si>
  <si>
    <t>YT103</t>
  </si>
  <si>
    <t>YT104</t>
  </si>
  <si>
    <t>YT105</t>
  </si>
  <si>
    <t>YT106</t>
  </si>
  <si>
    <t>YT107</t>
  </si>
  <si>
    <t>YT108</t>
  </si>
  <si>
    <t>YT109</t>
  </si>
  <si>
    <t>YT110</t>
  </si>
  <si>
    <t>YT111</t>
  </si>
  <si>
    <t>YT112</t>
  </si>
  <si>
    <t>YT113</t>
  </si>
  <si>
    <t>YT114</t>
  </si>
  <si>
    <t>YT115</t>
  </si>
  <si>
    <t>YT116</t>
  </si>
  <si>
    <t>YT117</t>
  </si>
  <si>
    <t>YT118</t>
  </si>
  <si>
    <t>YT119</t>
  </si>
  <si>
    <t>YT120</t>
  </si>
  <si>
    <t>בנק לאומי</t>
  </si>
  <si>
    <t>פסגות מוצרי מדדים</t>
  </si>
  <si>
    <t>סם תעודות סל ומוצרי מדדים</t>
  </si>
  <si>
    <t>תכלית אינדקס סל</t>
  </si>
  <si>
    <t>תכלית מורכבות</t>
  </si>
  <si>
    <t>תכלית גלובל</t>
  </si>
  <si>
    <t>ISHARES CORE SPI CH</t>
  </si>
  <si>
    <t>KOTAK FUNDS-IND MIDCP-JA</t>
  </si>
  <si>
    <t>תכלית תעודות סל</t>
  </si>
  <si>
    <t>WISDOMTREE JAPAN USD HEDG</t>
  </si>
  <si>
    <t>Camalia capital market</t>
  </si>
  <si>
    <t>הבנק הבינלאומי</t>
  </si>
  <si>
    <t>נוקד אקוויטי (ישראלי)</t>
  </si>
  <si>
    <t xml:space="preserve">אי בי אי קונסיומר קרדיט </t>
  </si>
  <si>
    <t>אלפא הזדמנויות</t>
  </si>
  <si>
    <t>PI SPC</t>
  </si>
  <si>
    <t xml:space="preserve">קרן גידור פאי </t>
  </si>
  <si>
    <t>קרן פורמה</t>
  </si>
  <si>
    <t>CS NOVA LUX GLB SEN LN-MB</t>
  </si>
  <si>
    <t>ISHARES PHLX SEMICONDUCTO</t>
  </si>
  <si>
    <t>KRANESHARES CSI CHINA INT</t>
  </si>
  <si>
    <t>נוקד גלובל</t>
  </si>
  <si>
    <t>SPDR S&amp;P OIL &amp; GAS EXP &amp;</t>
  </si>
  <si>
    <t>SOURCE S&amp;P 500 UCITS ETF</t>
  </si>
  <si>
    <t>FIRST TRUST INDST/PRODUCE</t>
  </si>
  <si>
    <t>INVESCO S&amp;P 500 EQUAL WEI</t>
  </si>
  <si>
    <t>INVESCO QQQ TRUST SERIES</t>
  </si>
  <si>
    <t>ISHARES MSCI BRAZIL CAPPE</t>
  </si>
  <si>
    <t>בנק דיסקונט</t>
  </si>
  <si>
    <t>אי.בי.אי-נוסטרו</t>
  </si>
  <si>
    <t>בנק מזרחי</t>
  </si>
  <si>
    <t>יתרת נכסים ממוצעת לסוף תקופה</t>
  </si>
  <si>
    <t>SOURCE MORNINGSTAR US ENE</t>
  </si>
  <si>
    <t>ISHARES MSCI EMERGING MAR</t>
  </si>
  <si>
    <t>נוקד אופורטיוניטי (ישראל)</t>
  </si>
  <si>
    <t>המילטון קו אינווסט IV</t>
  </si>
  <si>
    <t>נוקד אקוויטי</t>
  </si>
  <si>
    <t>YUKI JAPAN REBOUND GRO-2J</t>
  </si>
  <si>
    <t>פסגות קרנות מדדים</t>
  </si>
  <si>
    <t>SPDR S&amp;P BIOTECH ETF</t>
  </si>
  <si>
    <t>ISHARES CORE FTSE 100</t>
  </si>
  <si>
    <t>COMM SERV SELECT SECTOR S</t>
  </si>
  <si>
    <t>SPDR S&amp;P HEALTH CARE EQUI</t>
  </si>
  <si>
    <t>ISHARES U.S. MEDICAL DEVI</t>
  </si>
  <si>
    <t>ISHARES MSCI CHINA ETF</t>
  </si>
  <si>
    <t>מיטב ד"ש</t>
  </si>
  <si>
    <t>המילטון 2018</t>
  </si>
  <si>
    <t>LLCP  VI</t>
  </si>
  <si>
    <t>FRANK TP INV EMK B-I QDIS</t>
  </si>
  <si>
    <t>L1 CAPITAL INTERNATIONAL</t>
  </si>
  <si>
    <t>מגדל קרנות נאמנות בע"מ</t>
  </si>
  <si>
    <t>VANECK VECTORS JUNIOR GOL</t>
  </si>
  <si>
    <t>PIMCO EMERGING MARKETS AD</t>
  </si>
  <si>
    <t>KRANESH BOSERA MSCI CHINA</t>
  </si>
  <si>
    <t>FIRST TRUST MATERIALS ALP</t>
  </si>
  <si>
    <t>CHINAAMC CSI 300 IDX ETF-</t>
  </si>
  <si>
    <t>SPDR S&amp;P BANK ETF</t>
  </si>
  <si>
    <t>SPDR S&amp;P REGIONAL BANKING</t>
  </si>
  <si>
    <t>ISHARES MSCI MEXICO CAPPE</t>
  </si>
  <si>
    <t>Excelence Nessuah</t>
  </si>
  <si>
    <t>Migdal Capital Markets</t>
  </si>
  <si>
    <t>לידר ד"ש</t>
  </si>
  <si>
    <t>אלקטרה נדלן 2</t>
  </si>
  <si>
    <t>LYX ETF CAC 40 DR D-EUR</t>
  </si>
  <si>
    <t>INVESCO KBW BANK ETF</t>
  </si>
  <si>
    <t>ETFMG PRIME MOBILE PAYMEN</t>
  </si>
  <si>
    <t>ISHARES CORE EURO STOXX50</t>
  </si>
  <si>
    <t>מיטב דש קרנות נאמנות</t>
  </si>
  <si>
    <t>ב תכלית קרנות נאמנות בע"מ</t>
  </si>
  <si>
    <t>IBI Brokerage</t>
  </si>
  <si>
    <t>Goldman Sachs</t>
  </si>
  <si>
    <t>Barclays</t>
  </si>
  <si>
    <t>אקסלנס נשואה</t>
  </si>
  <si>
    <t>לשנה המסתיימת ביום: 31/12/2019</t>
  </si>
  <si>
    <t xml:space="preserve"> קופה 1127 קרן אקדמאים מ.כללי   מספר אישור: 288 סך התשלומים ששולמו בגין כל סוג של הוצאה ישירה לשנה המסתיימת ביום 31/12/2019 נספח 1 </t>
  </si>
  <si>
    <t xml:space="preserve"> קופה 1762 ק. אקדמאים מ.אג"ח   מספר אישור: 1451 סך התשלומים ששולמו בגין כל סוג של הוצאה ישירה לשנה המסתיימת ביום: 31/12/2019 נספח 2 </t>
  </si>
  <si>
    <t xml:space="preserve"> קופה 1761 ק.אקדמאים מ.מניות   מספר אישור: 1452 סך התשלומים ששולמו בגין כל סוג של הוצאה ישירה לשנה המסתיימת ביום: 31/12/2019 נספח 1 </t>
  </si>
  <si>
    <t xml:space="preserve"> קופה 1127 קרן אקדמאים מ.כללי   מספר אישור: 288 סך התשלומים ששולמו בגין כל סוג של הוצאה ישירה לשנה המסתיימת ביום: 31/12/2019 נספח 2 </t>
  </si>
  <si>
    <t xml:space="preserve"> קופה 1762 ק. אקדמאים מ.אג"ח  מספר אישור: 1451 סך התשלומים ששולמו בגין כל סוג של הוצאה ישירה לשנה המסתיימת ביום: 31/12/2019  נספח 2 </t>
  </si>
  <si>
    <t xml:space="preserve"> קופה 1761 ק.אקדמאים מ.מניות   מספר אישור: 1452 סך התשלומים ששולמו בגין כל סוג של הוצאה ישירה לשנה המסתיימת ביום: 31/12/2019 נספח 2 </t>
  </si>
  <si>
    <t xml:space="preserve">לשנה המסתיימת ביום 31/12/2019: </t>
  </si>
  <si>
    <t xml:space="preserve"> קופה 1127 קרן אקדמאים מ.כללי   מספר אישור: 288 סך התשלומים ששולמו בגין כל סוג של הוצאה ישירה שנה המסתיימת ביום 31/12/2019 נספח 3 </t>
  </si>
  <si>
    <t xml:space="preserve"> קופה 1762 ק. אקדמאים מ.אג"ח   מספר אישור: 1451 סך התשלומים ששולמו בגין כל סוג של הוצאה ישירה לשנה המסתיימת ביום 31/12/2019  נספח 3  </t>
  </si>
  <si>
    <t xml:space="preserve"> קופה 1761 ק.אקדמאים מ.מניות   מספר אישור: 1452 סך התשלומים ששולמו בגין כל סוג של הוצאה ישירה לשנה המסתיימת ביום 31/12/2019 נספח 3 </t>
  </si>
  <si>
    <t>TRIGON-NEW EUROPE-A EUR</t>
  </si>
  <si>
    <t>פסגות קרנות נאמנות בע"מ</t>
  </si>
  <si>
    <t>קסם תעודות סל ומוצרי מדדים</t>
  </si>
  <si>
    <t>מיטב תכלית קרנות נאמנות בע"מ</t>
  </si>
  <si>
    <t>ROLLS-ROYCE HOLDINGS PLC-</t>
  </si>
  <si>
    <t>UBS ETF MSCI EMU H. USD</t>
  </si>
  <si>
    <t>LYXOR CORE EURSTX 600 DR</t>
  </si>
  <si>
    <t>VANG FTSE250 GBPD</t>
  </si>
  <si>
    <t>יסודות נדל"ן ג</t>
  </si>
  <si>
    <t>נתונים מ IBI</t>
  </si>
  <si>
    <t>נתונים מפסגות</t>
  </si>
  <si>
    <t>א. שיעור סך ההוצאות הישירות, שההוצאה בגינן מוגבלת לשיעור של 0.25% לפי התקנות (באחוזים) (סיכום סעיפים 3א, 4, 5ב חלקי סך יתרת נכסים ממוצעת לסוף התקופה)</t>
  </si>
  <si>
    <t>ב. שיעור סך הוצאות ישירות מסך יתרת נכסים ממוצעת לסוף תקופה (באחוזים) (סעיף 6 חלקי סך יתרת נכסים ממוצעת לסוף תקופה)</t>
  </si>
  <si>
    <t>בקרה</t>
  </si>
  <si>
    <t>חדש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</si>
</sst>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0%"/>
  </numFmts>
  <fonts count="8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4"/>
      <color theme="1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readingOrder="2"/>
    </xf>
    <xf numFmtId="0" fontId="2" fillId="0" borderId="0" xfId="0" applyFont="1" applyAlignment="1">
      <alignment readingOrder="2"/>
    </xf>
    <xf numFmtId="0" fontId="2" fillId="0" borderId="0" xfId="0" applyFont="1" applyAlignment="1">
      <alignment horizontal="right" readingOrder="2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 readingOrder="2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readingOrder="2"/>
    </xf>
    <xf numFmtId="43" fontId="0" fillId="0" borderId="0" xfId="2" applyFont="1"/>
    <xf numFmtId="43" fontId="2" fillId="0" borderId="0" xfId="2" applyFont="1"/>
    <xf numFmtId="164" fontId="0" fillId="0" borderId="0" xfId="1" applyNumberFormat="1" applyFont="1"/>
    <xf numFmtId="164" fontId="2" fillId="0" borderId="0" xfId="1" applyNumberFormat="1" applyFont="1"/>
    <xf numFmtId="43" fontId="0" fillId="0" borderId="0" xfId="2" applyFont="1" applyAlignment="1">
      <alignment horizontal="right"/>
    </xf>
    <xf numFmtId="43" fontId="2" fillId="0" borderId="0" xfId="2" applyFont="1" applyAlignment="1">
      <alignment horizontal="right"/>
    </xf>
    <xf numFmtId="164" fontId="2" fillId="0" borderId="0" xfId="1" applyNumberFormat="1" applyFont="1" applyAlignment="1">
      <alignment readingOrder="2"/>
    </xf>
    <xf numFmtId="0" fontId="2" fillId="0" borderId="0" xfId="0" applyFont="1" applyFill="1" applyAlignment="1">
      <alignment horizontal="right" readingOrder="2"/>
    </xf>
    <xf numFmtId="164" fontId="2" fillId="0" borderId="0" xfId="1" applyNumberFormat="1" applyFont="1" applyFill="1" applyAlignment="1">
      <alignment readingOrder="2"/>
    </xf>
    <xf numFmtId="0" fontId="0" fillId="0" borderId="0" xfId="0" applyFill="1" applyAlignment="1">
      <alignment readingOrder="2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 readingOrder="2"/>
    </xf>
    <xf numFmtId="0" fontId="0" fillId="2" borderId="0" xfId="0" applyFill="1" applyAlignment="1">
      <alignment readingOrder="2"/>
    </xf>
    <xf numFmtId="164" fontId="2" fillId="2" borderId="0" xfId="1" applyNumberFormat="1" applyFont="1" applyFill="1" applyAlignment="1">
      <alignment readingOrder="2"/>
    </xf>
    <xf numFmtId="0" fontId="2" fillId="2" borderId="0" xfId="0" applyFont="1" applyFill="1" applyAlignment="1">
      <alignment horizontal="right"/>
    </xf>
    <xf numFmtId="43" fontId="2" fillId="2" borderId="0" xfId="2" applyFont="1" applyFill="1"/>
    <xf numFmtId="43" fontId="2" fillId="2" borderId="0" xfId="2" applyFont="1" applyFill="1" applyAlignment="1">
      <alignment readingOrder="2"/>
    </xf>
    <xf numFmtId="164" fontId="2" fillId="2" borderId="0" xfId="1" applyNumberFormat="1" applyFont="1" applyFill="1"/>
    <xf numFmtId="43" fontId="0" fillId="0" borderId="0" xfId="2" applyFont="1" applyAlignment="1">
      <alignment readingOrder="2"/>
    </xf>
    <xf numFmtId="43" fontId="2" fillId="0" borderId="0" xfId="2" applyFont="1" applyFill="1"/>
    <xf numFmtId="164" fontId="2" fillId="0" borderId="0" xfId="1" applyNumberFormat="1" applyFont="1" applyFill="1"/>
    <xf numFmtId="43" fontId="2" fillId="2" borderId="0" xfId="2" applyFont="1" applyFill="1" applyAlignment="1">
      <alignment horizontal="right" readingOrder="2"/>
    </xf>
    <xf numFmtId="0" fontId="2" fillId="3" borderId="0" xfId="0" applyFont="1" applyFill="1" applyAlignment="1">
      <alignment horizontal="right"/>
    </xf>
    <xf numFmtId="43" fontId="2" fillId="3" borderId="0" xfId="2" applyFont="1" applyFill="1"/>
    <xf numFmtId="164" fontId="2" fillId="3" borderId="0" xfId="1" applyNumberFormat="1" applyFont="1" applyFill="1"/>
    <xf numFmtId="164" fontId="3" fillId="0" borderId="0" xfId="1" applyNumberFormat="1" applyFont="1" applyFill="1"/>
    <xf numFmtId="43" fontId="2" fillId="2" borderId="0" xfId="2" applyFont="1" applyFill="1" applyBorder="1"/>
    <xf numFmtId="43" fontId="2" fillId="0" borderId="0" xfId="2" applyNumberFormat="1" applyFont="1"/>
    <xf numFmtId="43" fontId="2" fillId="2" borderId="0" xfId="2" applyFont="1" applyFill="1" applyAlignment="1">
      <alignment horizontal="right"/>
    </xf>
    <xf numFmtId="43" fontId="2" fillId="3" borderId="0" xfId="2" applyFont="1" applyFill="1" applyAlignment="1">
      <alignment horizontal="right"/>
    </xf>
    <xf numFmtId="43" fontId="2" fillId="0" borderId="0" xfId="2" applyFont="1" applyFill="1" applyAlignment="1">
      <alignment horizontal="right" readingOrder="2"/>
    </xf>
    <xf numFmtId="164" fontId="2" fillId="0" borderId="0" xfId="1" applyNumberFormat="1" applyFont="1" applyFill="1" applyAlignment="1">
      <alignment horizontal="right" readingOrder="2"/>
    </xf>
    <xf numFmtId="43" fontId="0" fillId="0" borderId="0" xfId="0" applyNumberFormat="1" applyAlignment="1">
      <alignment readingOrder="2"/>
    </xf>
    <xf numFmtId="43" fontId="0" fillId="2" borderId="0" xfId="0" applyNumberFormat="1" applyFill="1" applyAlignment="1">
      <alignment readingOrder="2"/>
    </xf>
    <xf numFmtId="10" fontId="2" fillId="0" borderId="0" xfId="1" applyNumberFormat="1" applyFont="1" applyAlignment="1">
      <alignment readingOrder="2"/>
    </xf>
    <xf numFmtId="0" fontId="2" fillId="0" borderId="0" xfId="0" applyFont="1" applyAlignment="1">
      <alignment horizontal="right" readingOrder="2"/>
    </xf>
    <xf numFmtId="0" fontId="0" fillId="0" borderId="0" xfId="0"/>
    <xf numFmtId="0" fontId="0" fillId="0" borderId="0" xfId="0" applyAlignment="1">
      <alignment horizontal="right" readingOrder="2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/>
    <xf numFmtId="0" fontId="0" fillId="0" borderId="0" xfId="0"/>
    <xf numFmtId="43" fontId="2" fillId="2" borderId="0" xfId="2" applyFont="1" applyFill="1" applyBorder="1" applyAlignment="1">
      <alignment readingOrder="2"/>
    </xf>
    <xf numFmtId="43" fontId="3" fillId="0" borderId="0" xfId="2" applyFont="1" applyAlignment="1">
      <alignment readingOrder="2"/>
    </xf>
    <xf numFmtId="43" fontId="3" fillId="0" borderId="0" xfId="2" applyFont="1" applyFill="1" applyAlignment="1">
      <alignment readingOrder="2"/>
    </xf>
    <xf numFmtId="43" fontId="3" fillId="0" borderId="0" xfId="2" applyFont="1" applyFill="1" applyAlignment="1">
      <alignment horizontal="right" readingOrder="2"/>
    </xf>
    <xf numFmtId="0" fontId="0" fillId="0" borderId="0" xfId="0" applyBorder="1"/>
    <xf numFmtId="0" fontId="0" fillId="0" borderId="0" xfId="0" applyAlignment="1">
      <alignment horizontal="right"/>
    </xf>
    <xf numFmtId="0" fontId="2" fillId="0" borderId="0" xfId="0" applyFont="1" applyAlignment="1">
      <alignment horizontal="right" readingOrder="2"/>
    </xf>
    <xf numFmtId="0" fontId="0" fillId="0" borderId="0" xfId="0" applyAlignment="1">
      <alignment horizontal="right"/>
    </xf>
    <xf numFmtId="43" fontId="2" fillId="0" borderId="0" xfId="0" applyNumberFormat="1" applyFont="1"/>
    <xf numFmtId="43" fontId="2" fillId="0" borderId="0" xfId="0" applyNumberFormat="1" applyFont="1" applyAlignment="1">
      <alignment readingOrder="2"/>
    </xf>
    <xf numFmtId="0" fontId="0" fillId="0" borderId="0" xfId="0" applyFill="1" applyAlignment="1">
      <alignment horizontal="right"/>
    </xf>
    <xf numFmtId="43" fontId="0" fillId="0" borderId="0" xfId="2" applyFont="1" applyFill="1"/>
    <xf numFmtId="164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readingOrder="2"/>
    </xf>
    <xf numFmtId="0" fontId="0" fillId="0" borderId="0" xfId="0" applyAlignment="1">
      <alignment horizontal="right"/>
    </xf>
    <xf numFmtId="43" fontId="2" fillId="0" borderId="0" xfId="0" applyNumberFormat="1" applyFont="1" applyFill="1" applyAlignment="1">
      <alignment readingOrder="2"/>
    </xf>
    <xf numFmtId="43" fontId="0" fillId="4" borderId="0" xfId="2" applyFont="1" applyFill="1"/>
    <xf numFmtId="43" fontId="0" fillId="5" borderId="0" xfId="2" applyFont="1" applyFill="1"/>
    <xf numFmtId="0" fontId="0" fillId="5" borderId="0" xfId="0" applyFill="1" applyAlignment="1">
      <alignment horizontal="right"/>
    </xf>
    <xf numFmtId="0" fontId="0" fillId="4" borderId="0" xfId="0" applyFill="1"/>
    <xf numFmtId="0" fontId="2" fillId="0" borderId="0" xfId="0" applyFont="1" applyAlignment="1">
      <alignment horizontal="right" readingOrder="2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43" fontId="0" fillId="0" borderId="0" xfId="0" applyNumberFormat="1"/>
    <xf numFmtId="0" fontId="7" fillId="0" borderId="0" xfId="0" applyFont="1" applyFill="1" applyAlignment="1">
      <alignment vertical="center" wrapText="1"/>
    </xf>
    <xf numFmtId="2" fontId="0" fillId="0" borderId="0" xfId="0" applyNumberFormat="1"/>
    <xf numFmtId="2" fontId="0" fillId="0" borderId="0" xfId="0" applyNumberForma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readingOrder="2"/>
    </xf>
    <xf numFmtId="0" fontId="0" fillId="0" borderId="0" xfId="0" applyAlignment="1">
      <alignment horizontal="right" readingOrder="2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6" borderId="0" xfId="0" applyFill="1" applyAlignment="1">
      <alignment readingOrder="2"/>
    </xf>
    <xf numFmtId="14" fontId="0" fillId="6" borderId="0" xfId="0" applyNumberFormat="1" applyFill="1" applyAlignment="1">
      <alignment readingOrder="2"/>
    </xf>
  </cellXfs>
  <cellStyles count="5">
    <cellStyle name="Comma" xfId="2" builtinId="3"/>
    <cellStyle name="Comma 2 3" xfId="4"/>
    <cellStyle name="Normal" xfId="0" builtinId="0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35"/>
  <sheetViews>
    <sheetView rightToLeft="1" zoomScale="80" zoomScaleNormal="80" workbookViewId="0">
      <selection activeCell="B28" sqref="B28"/>
    </sheetView>
  </sheetViews>
  <sheetFormatPr defaultRowHeight="14.25" x14ac:dyDescent="0.2"/>
  <cols>
    <col min="1" max="1" width="123.125" bestFit="1" customWidth="1"/>
    <col min="2" max="2" width="16.125" bestFit="1" customWidth="1"/>
    <col min="3" max="3" width="10.375" bestFit="1" customWidth="1"/>
  </cols>
  <sheetData>
    <row r="1" spans="1:3" ht="15" x14ac:dyDescent="0.25">
      <c r="A1" s="88" t="s">
        <v>108</v>
      </c>
      <c r="B1" s="88"/>
      <c r="C1" s="88"/>
    </row>
    <row r="2" spans="1:3" s="55" customFormat="1" ht="15" x14ac:dyDescent="0.25">
      <c r="A2" s="88" t="s">
        <v>233</v>
      </c>
      <c r="B2" s="88"/>
      <c r="C2" s="88"/>
    </row>
    <row r="4" spans="1:3" x14ac:dyDescent="0.2">
      <c r="A4" s="4" t="s">
        <v>0</v>
      </c>
      <c r="B4" s="4" t="s">
        <v>1</v>
      </c>
      <c r="C4" s="4" t="s">
        <v>2</v>
      </c>
    </row>
    <row r="5" spans="1:3" ht="15" x14ac:dyDescent="0.25">
      <c r="A5" s="25" t="s">
        <v>77</v>
      </c>
      <c r="B5" s="35">
        <f>'נספח 1-כללי'!C4+'נספח 1-  אג"ח'!C4+'נספח 1- מניות'!C4</f>
        <v>939.04000000000019</v>
      </c>
      <c r="C5" s="31">
        <f>B5/$B$31</f>
        <v>3.0971093853054347E-4</v>
      </c>
    </row>
    <row r="6" spans="1:3" ht="15" x14ac:dyDescent="0.25">
      <c r="A6" s="6" t="s">
        <v>78</v>
      </c>
      <c r="B6" s="60">
        <f>'נספח 1- מניות'!C5+'נספח 1-  אג"ח'!C5+'נספח 1-כללי'!C5</f>
        <v>0</v>
      </c>
      <c r="C6" s="17">
        <f t="shared" ref="C6:C31" si="0">B6/$B$31</f>
        <v>0</v>
      </c>
    </row>
    <row r="7" spans="1:3" ht="15" x14ac:dyDescent="0.25">
      <c r="A7" s="6" t="s">
        <v>79</v>
      </c>
      <c r="B7" s="60">
        <f>'נספח 1- מניות'!C6+'נספח 1-  אג"ח'!C6+'נספח 1-כללי'!C6</f>
        <v>939.04000000000008</v>
      </c>
      <c r="C7" s="17">
        <f t="shared" si="0"/>
        <v>3.0971093853054342E-4</v>
      </c>
    </row>
    <row r="8" spans="1:3" ht="15" x14ac:dyDescent="0.25">
      <c r="A8" s="25" t="s">
        <v>80</v>
      </c>
      <c r="B8" s="35">
        <f>'נספח 1-כללי'!C7+'נספח 1-  אג"ח'!C7+'נספח 1- מניות'!C7</f>
        <v>122.82999999999998</v>
      </c>
      <c r="C8" s="31">
        <f t="shared" si="0"/>
        <v>4.0511367545266065E-5</v>
      </c>
    </row>
    <row r="9" spans="1:3" ht="15" x14ac:dyDescent="0.25">
      <c r="A9" s="6" t="s">
        <v>81</v>
      </c>
      <c r="B9" s="60">
        <f>'נספח 1- מניות'!C8+'נספח 1-  אג"ח'!C8+'נספח 1-כללי'!C8</f>
        <v>0</v>
      </c>
      <c r="C9" s="17">
        <f t="shared" si="0"/>
        <v>0</v>
      </c>
    </row>
    <row r="10" spans="1:3" ht="15" x14ac:dyDescent="0.25">
      <c r="A10" s="6" t="s">
        <v>82</v>
      </c>
      <c r="B10" s="60">
        <f>'נספח 1- מניות'!C9+'נספח 1-  אג"ח'!C9+'נספח 1-כללי'!C9</f>
        <v>122.83</v>
      </c>
      <c r="C10" s="17">
        <f t="shared" si="0"/>
        <v>4.0511367545266065E-5</v>
      </c>
    </row>
    <row r="11" spans="1:3" ht="15" x14ac:dyDescent="0.25">
      <c r="A11" s="25" t="s">
        <v>83</v>
      </c>
      <c r="B11" s="35">
        <f>'נספח 1-כללי'!C10+'נספח 1-  אג"ח'!C10+'נספח 1- מניות'!C10</f>
        <v>0</v>
      </c>
      <c r="C11" s="31">
        <f t="shared" si="0"/>
        <v>0</v>
      </c>
    </row>
    <row r="12" spans="1:3" ht="15" x14ac:dyDescent="0.25">
      <c r="A12" s="6" t="s">
        <v>84</v>
      </c>
      <c r="B12" s="60">
        <f>'נספח 1- מניות'!C11+'נספח 1-  אג"ח'!C11+'נספח 1-כללי'!C11</f>
        <v>0</v>
      </c>
      <c r="C12" s="17">
        <f t="shared" si="0"/>
        <v>0</v>
      </c>
    </row>
    <row r="13" spans="1:3" ht="15" x14ac:dyDescent="0.25">
      <c r="A13" s="6" t="s">
        <v>85</v>
      </c>
      <c r="B13" s="60">
        <f>'נספח 1- מניות'!C12+'נספח 1-  אג"ח'!C12+'נספח 1-כללי'!C12</f>
        <v>0</v>
      </c>
      <c r="C13" s="17">
        <f t="shared" si="0"/>
        <v>0</v>
      </c>
    </row>
    <row r="14" spans="1:3" ht="15" x14ac:dyDescent="0.25">
      <c r="A14" s="6" t="s">
        <v>86</v>
      </c>
      <c r="B14" s="60">
        <f>'נספח 1- מניות'!C13+'נספח 1-  אג"ח'!C13+'נספח 1-כללי'!C13</f>
        <v>0</v>
      </c>
      <c r="C14" s="17">
        <f t="shared" si="0"/>
        <v>0</v>
      </c>
    </row>
    <row r="15" spans="1:3" ht="15" x14ac:dyDescent="0.25">
      <c r="A15" s="25" t="s">
        <v>87</v>
      </c>
      <c r="B15" s="35">
        <f>'נספח 1-כללי'!C14+'נספח 1-  אג"ח'!C14+'נספח 1- מניות'!C14</f>
        <v>3532.6593699999999</v>
      </c>
      <c r="C15" s="31">
        <f t="shared" si="0"/>
        <v>1.1651295461230812E-3</v>
      </c>
    </row>
    <row r="16" spans="1:3" ht="15" x14ac:dyDescent="0.25">
      <c r="A16" s="21" t="s">
        <v>88</v>
      </c>
      <c r="B16" s="60">
        <f>'נספח 1- מניות'!C15+'נספח 1-  אג"ח'!C15+'נספח 1-כללי'!C15</f>
        <v>301.22394000000003</v>
      </c>
      <c r="C16" s="17">
        <f t="shared" si="0"/>
        <v>9.9348642406359795E-5</v>
      </c>
    </row>
    <row r="17" spans="1:3" ht="15" x14ac:dyDescent="0.25">
      <c r="A17" s="21" t="s">
        <v>89</v>
      </c>
      <c r="B17" s="60">
        <f>'נספח 1- מניות'!C16+'נספח 1-  אג"ח'!C16+'נספח 1-כללי'!C16</f>
        <v>763.50629000000004</v>
      </c>
      <c r="C17" s="17">
        <f t="shared" si="0"/>
        <v>2.5181701487676057E-4</v>
      </c>
    </row>
    <row r="18" spans="1:3" ht="15" x14ac:dyDescent="0.25">
      <c r="A18" s="6" t="s">
        <v>90</v>
      </c>
      <c r="B18" s="60">
        <f>'נספח 1- מניות'!C17+'נספח 1-  אג"ח'!C17+'נספח 1-כללי'!C17</f>
        <v>0</v>
      </c>
      <c r="C18" s="17">
        <f t="shared" si="0"/>
        <v>0</v>
      </c>
    </row>
    <row r="19" spans="1:3" ht="15" x14ac:dyDescent="0.25">
      <c r="A19" s="6" t="s">
        <v>91</v>
      </c>
      <c r="B19" s="60">
        <f>'נספח 1- מניות'!C18+'נספח 1-  אג"ח'!C18+'נספח 1-כללי'!C18</f>
        <v>0</v>
      </c>
      <c r="C19" s="17">
        <f t="shared" si="0"/>
        <v>0</v>
      </c>
    </row>
    <row r="20" spans="1:3" ht="15" x14ac:dyDescent="0.25">
      <c r="A20" s="6" t="s">
        <v>92</v>
      </c>
      <c r="B20" s="60">
        <f>'נספח 1- מניות'!C19+'נספח 1-  אג"ח'!C19+'נספח 1-כללי'!C19</f>
        <v>1727.5791400000001</v>
      </c>
      <c r="C20" s="17">
        <f t="shared" si="0"/>
        <v>5.6978420177541858E-4</v>
      </c>
    </row>
    <row r="21" spans="1:3" ht="15" x14ac:dyDescent="0.25">
      <c r="A21" s="6" t="s">
        <v>93</v>
      </c>
      <c r="B21" s="60">
        <f>'נספח 1- מניות'!C20+'נספח 1-  אג"ח'!C20+'נספח 1-כללי'!C20</f>
        <v>561.41</v>
      </c>
      <c r="C21" s="17">
        <f t="shared" si="0"/>
        <v>1.8516231257500464E-4</v>
      </c>
    </row>
    <row r="22" spans="1:3" ht="15" x14ac:dyDescent="0.25">
      <c r="A22" s="6" t="s">
        <v>94</v>
      </c>
      <c r="B22" s="60">
        <f>'נספח 1- מניות'!C21+'נספח 1-  אג"ח'!C21+'נספח 1-כללי'!C21</f>
        <v>7.0499999999999989</v>
      </c>
      <c r="C22" s="17">
        <f t="shared" si="0"/>
        <v>2.3252067181806215E-6</v>
      </c>
    </row>
    <row r="23" spans="1:3" ht="15" x14ac:dyDescent="0.25">
      <c r="A23" s="6" t="s">
        <v>95</v>
      </c>
      <c r="B23" s="60">
        <f>'נספח 1- מניות'!C22+'נספח 1-  אג"ח'!C22+'נספח 1-כללי'!C22</f>
        <v>171.89000000000001</v>
      </c>
      <c r="C23" s="17">
        <f t="shared" si="0"/>
        <v>5.669216777135704E-5</v>
      </c>
    </row>
    <row r="24" spans="1:3" ht="15" x14ac:dyDescent="0.25">
      <c r="A24" s="25" t="s">
        <v>96</v>
      </c>
      <c r="B24" s="35">
        <f>SUM(B25:B26)</f>
        <v>0</v>
      </c>
      <c r="C24" s="31">
        <f t="shared" si="0"/>
        <v>0</v>
      </c>
    </row>
    <row r="25" spans="1:3" ht="15" x14ac:dyDescent="0.25">
      <c r="A25" s="6" t="s">
        <v>97</v>
      </c>
      <c r="B25" s="60">
        <f>'נספח 1- מניות'!C24+'נספח 1-  אג"ח'!C24+'נספח 1-כללי'!C24</f>
        <v>0</v>
      </c>
      <c r="C25" s="17">
        <f t="shared" si="0"/>
        <v>0</v>
      </c>
    </row>
    <row r="26" spans="1:3" ht="15" x14ac:dyDescent="0.25">
      <c r="A26" s="6" t="s">
        <v>98</v>
      </c>
      <c r="B26" s="60">
        <f>'נספח 1- מניות'!C25+'נספח 1-  אג"ח'!C25+'נספח 1-כללי'!C25</f>
        <v>0</v>
      </c>
      <c r="C26" s="17">
        <f t="shared" si="0"/>
        <v>0</v>
      </c>
    </row>
    <row r="27" spans="1:3" ht="15" x14ac:dyDescent="0.25">
      <c r="A27" s="25" t="s">
        <v>99</v>
      </c>
      <c r="B27" s="35">
        <f>'נספח 1-כללי'!C26+'נספח 1-  אג"ח'!C26+'נספח 1- מניות'!C26</f>
        <v>4594.5293699999993</v>
      </c>
      <c r="C27" s="31">
        <f t="shared" si="0"/>
        <v>1.5153518521988905E-3</v>
      </c>
    </row>
    <row r="28" spans="1:3" ht="15" x14ac:dyDescent="0.25">
      <c r="A28" s="6" t="s">
        <v>100</v>
      </c>
      <c r="B28" s="44"/>
      <c r="C28" s="17">
        <f t="shared" si="0"/>
        <v>0</v>
      </c>
    </row>
    <row r="29" spans="1:3" ht="15" x14ac:dyDescent="0.25">
      <c r="A29" s="6" t="s">
        <v>255</v>
      </c>
      <c r="B29" s="45">
        <f>SUM(B12,B16:B23,B26)/B35</f>
        <v>1.179274250860935E-3</v>
      </c>
      <c r="C29" s="17">
        <f t="shared" si="0"/>
        <v>3.8894417172755546E-10</v>
      </c>
    </row>
    <row r="30" spans="1:3" ht="15" x14ac:dyDescent="0.25">
      <c r="A30" s="6" t="s">
        <v>256</v>
      </c>
      <c r="B30" s="45">
        <f>B27/B35</f>
        <v>1.533748265365679E-3</v>
      </c>
      <c r="C30" s="17">
        <f t="shared" si="0"/>
        <v>5.0585557030158184E-10</v>
      </c>
    </row>
    <row r="31" spans="1:3" ht="15" x14ac:dyDescent="0.25">
      <c r="A31" s="6" t="s">
        <v>50</v>
      </c>
      <c r="B31" s="44">
        <f>'נספח 1-כללי'!C30+'נספח 1-  אג"ח'!C30+'נספח 1- מניות'!C30</f>
        <v>3031988.4872499998</v>
      </c>
      <c r="C31" s="17">
        <f t="shared" si="0"/>
        <v>1</v>
      </c>
    </row>
    <row r="32" spans="1:3" ht="15" x14ac:dyDescent="0.25">
      <c r="A32" s="13"/>
      <c r="B32" s="44">
        <f>'נספח 1-כללי'!C31+'נספח 1-  אג"ח'!C31+'נספח 1- מניות'!C31</f>
        <v>0</v>
      </c>
    </row>
    <row r="33" spans="1:2" ht="15" x14ac:dyDescent="0.25">
      <c r="A33" s="13" t="s">
        <v>104</v>
      </c>
      <c r="B33" s="44">
        <f>'נספח 1-כללי'!C32+'נספח 1-  אג"ח'!C32+'נספח 1- מניות'!C32</f>
        <v>2959254.6310000001</v>
      </c>
    </row>
    <row r="35" spans="1:2" ht="15" x14ac:dyDescent="0.25">
      <c r="A35" s="63" t="s">
        <v>191</v>
      </c>
      <c r="B35" s="65">
        <f>AVERAGE(B31,B33)</f>
        <v>2995621.5591249997</v>
      </c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rightToLeft="1" topLeftCell="A25" zoomScale="80" zoomScaleNormal="80" workbookViewId="0">
      <selection activeCell="B64" sqref="B64"/>
    </sheetView>
  </sheetViews>
  <sheetFormatPr defaultRowHeight="14.25" x14ac:dyDescent="0.2"/>
  <cols>
    <col min="1" max="1" width="53.25" bestFit="1" customWidth="1"/>
    <col min="2" max="2" width="16.125" bestFit="1" customWidth="1"/>
    <col min="3" max="3" width="11.875" bestFit="1" customWidth="1"/>
    <col min="6" max="6" width="11.75" bestFit="1" customWidth="1"/>
    <col min="8" max="8" width="13.25" customWidth="1"/>
    <col min="255" max="255" width="10.75" bestFit="1" customWidth="1"/>
    <col min="256" max="256" width="9" bestFit="1" customWidth="1"/>
    <col min="257" max="257" width="53.25" bestFit="1" customWidth="1"/>
    <col min="258" max="258" width="11.75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3.25" bestFit="1" customWidth="1"/>
    <col min="514" max="514" width="11.75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3.25" bestFit="1" customWidth="1"/>
    <col min="770" max="770" width="11.75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3.25" bestFit="1" customWidth="1"/>
    <col min="1026" max="1026" width="11.75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3.25" bestFit="1" customWidth="1"/>
    <col min="1282" max="1282" width="11.75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3.25" bestFit="1" customWidth="1"/>
    <col min="1538" max="1538" width="11.75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3.25" bestFit="1" customWidth="1"/>
    <col min="1794" max="1794" width="11.75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3.25" bestFit="1" customWidth="1"/>
    <col min="2050" max="2050" width="11.75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3.25" bestFit="1" customWidth="1"/>
    <col min="2306" max="2306" width="11.75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3.25" bestFit="1" customWidth="1"/>
    <col min="2562" max="2562" width="11.75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3.25" bestFit="1" customWidth="1"/>
    <col min="2818" max="2818" width="11.75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3.25" bestFit="1" customWidth="1"/>
    <col min="3074" max="3074" width="11.75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3.25" bestFit="1" customWidth="1"/>
    <col min="3330" max="3330" width="11.75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3.25" bestFit="1" customWidth="1"/>
    <col min="3586" max="3586" width="11.75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3.25" bestFit="1" customWidth="1"/>
    <col min="3842" max="3842" width="11.75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3.25" bestFit="1" customWidth="1"/>
    <col min="4098" max="4098" width="11.75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3.25" bestFit="1" customWidth="1"/>
    <col min="4354" max="4354" width="11.75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3.25" bestFit="1" customWidth="1"/>
    <col min="4610" max="4610" width="11.75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3.25" bestFit="1" customWidth="1"/>
    <col min="4866" max="4866" width="11.75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3.25" bestFit="1" customWidth="1"/>
    <col min="5122" max="5122" width="11.75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3.25" bestFit="1" customWidth="1"/>
    <col min="5378" max="5378" width="11.75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3.25" bestFit="1" customWidth="1"/>
    <col min="5634" max="5634" width="11.75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3.25" bestFit="1" customWidth="1"/>
    <col min="5890" max="5890" width="11.75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3.25" bestFit="1" customWidth="1"/>
    <col min="6146" max="6146" width="11.75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3.25" bestFit="1" customWidth="1"/>
    <col min="6402" max="6402" width="11.75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3.25" bestFit="1" customWidth="1"/>
    <col min="6658" max="6658" width="11.75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3.25" bestFit="1" customWidth="1"/>
    <col min="6914" max="6914" width="11.75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3.25" bestFit="1" customWidth="1"/>
    <col min="7170" max="7170" width="11.75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3.25" bestFit="1" customWidth="1"/>
    <col min="7426" max="7426" width="11.75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3.25" bestFit="1" customWidth="1"/>
    <col min="7682" max="7682" width="11.75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3.25" bestFit="1" customWidth="1"/>
    <col min="7938" max="7938" width="11.75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3.25" bestFit="1" customWidth="1"/>
    <col min="8194" max="8194" width="11.75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3.25" bestFit="1" customWidth="1"/>
    <col min="8450" max="8450" width="11.75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3.25" bestFit="1" customWidth="1"/>
    <col min="8706" max="8706" width="11.75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3.25" bestFit="1" customWidth="1"/>
    <col min="8962" max="8962" width="11.75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3.25" bestFit="1" customWidth="1"/>
    <col min="9218" max="9218" width="11.75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3.25" bestFit="1" customWidth="1"/>
    <col min="9474" max="9474" width="11.75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3.25" bestFit="1" customWidth="1"/>
    <col min="9730" max="9730" width="11.75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3.25" bestFit="1" customWidth="1"/>
    <col min="9986" max="9986" width="11.75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3.25" bestFit="1" customWidth="1"/>
    <col min="10242" max="10242" width="11.75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3.25" bestFit="1" customWidth="1"/>
    <col min="10498" max="10498" width="11.75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3.25" bestFit="1" customWidth="1"/>
    <col min="10754" max="10754" width="11.75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3.25" bestFit="1" customWidth="1"/>
    <col min="11010" max="11010" width="11.75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3.25" bestFit="1" customWidth="1"/>
    <col min="11266" max="11266" width="11.75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3.25" bestFit="1" customWidth="1"/>
    <col min="11522" max="11522" width="11.75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3.25" bestFit="1" customWidth="1"/>
    <col min="11778" max="11778" width="11.75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3.25" bestFit="1" customWidth="1"/>
    <col min="12034" max="12034" width="11.75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3.25" bestFit="1" customWidth="1"/>
    <col min="12290" max="12290" width="11.75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3.25" bestFit="1" customWidth="1"/>
    <col min="12546" max="12546" width="11.75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3.25" bestFit="1" customWidth="1"/>
    <col min="12802" max="12802" width="11.75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3.25" bestFit="1" customWidth="1"/>
    <col min="13058" max="13058" width="11.75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3.25" bestFit="1" customWidth="1"/>
    <col min="13314" max="13314" width="11.75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3.25" bestFit="1" customWidth="1"/>
    <col min="13570" max="13570" width="11.75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3.25" bestFit="1" customWidth="1"/>
    <col min="13826" max="13826" width="11.75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3.25" bestFit="1" customWidth="1"/>
    <col min="14082" max="14082" width="11.75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3.25" bestFit="1" customWidth="1"/>
    <col min="14338" max="14338" width="11.75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3.25" bestFit="1" customWidth="1"/>
    <col min="14594" max="14594" width="11.75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3.25" bestFit="1" customWidth="1"/>
    <col min="14850" max="14850" width="11.75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3.25" bestFit="1" customWidth="1"/>
    <col min="15106" max="15106" width="11.75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3.25" bestFit="1" customWidth="1"/>
    <col min="15362" max="15362" width="11.75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3.25" bestFit="1" customWidth="1"/>
    <col min="15618" max="15618" width="11.75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3.25" bestFit="1" customWidth="1"/>
    <col min="15874" max="15874" width="11.75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3.25" bestFit="1" customWidth="1"/>
    <col min="16130" max="16130" width="11.75" bestFit="1" customWidth="1"/>
    <col min="16131" max="16131" width="11.875" bestFit="1" customWidth="1"/>
  </cols>
  <sheetData>
    <row r="1" spans="1:11" ht="15" x14ac:dyDescent="0.25">
      <c r="A1" s="91" t="s">
        <v>241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s="50" customFormat="1" x14ac:dyDescent="0.2">
      <c r="A2" s="53"/>
      <c r="B2" s="53"/>
      <c r="C2" s="53"/>
      <c r="D2" s="53"/>
      <c r="E2" s="53"/>
      <c r="F2" s="53"/>
      <c r="G2" s="53"/>
      <c r="H2" s="79" t="s">
        <v>253</v>
      </c>
      <c r="I2" s="53"/>
    </row>
    <row r="3" spans="1:11" x14ac:dyDescent="0.2">
      <c r="A3" t="s">
        <v>0</v>
      </c>
      <c r="B3" t="s">
        <v>1</v>
      </c>
      <c r="C3" t="s">
        <v>2</v>
      </c>
      <c r="H3" s="80" t="s">
        <v>254</v>
      </c>
    </row>
    <row r="4" spans="1:11" ht="15" x14ac:dyDescent="0.25">
      <c r="A4" s="9" t="s">
        <v>3</v>
      </c>
    </row>
    <row r="5" spans="1:11" x14ac:dyDescent="0.2">
      <c r="A5" s="67" t="s">
        <v>172</v>
      </c>
      <c r="B5" s="77">
        <f>228476.38/1000</f>
        <v>228.47638000000001</v>
      </c>
      <c r="C5" s="69">
        <f>B5/$B$140</f>
        <v>7.7938953777337584E-5</v>
      </c>
      <c r="D5" s="71"/>
      <c r="H5" s="68"/>
    </row>
    <row r="6" spans="1:11" s="55" customFormat="1" x14ac:dyDescent="0.2">
      <c r="A6" s="67" t="s">
        <v>173</v>
      </c>
      <c r="B6" s="77">
        <f>56137.56/1000</f>
        <v>56.137560000000001</v>
      </c>
      <c r="C6" s="69">
        <f>B6/$B$140</f>
        <v>1.9149912538059801E-5</v>
      </c>
      <c r="D6" s="71"/>
      <c r="H6" s="68"/>
    </row>
    <row r="7" spans="1:11" ht="15" x14ac:dyDescent="0.25">
      <c r="A7" s="28" t="s">
        <v>5</v>
      </c>
      <c r="B7" s="29">
        <f>SUM(B5:B6)</f>
        <v>284.61394000000001</v>
      </c>
      <c r="C7" s="31">
        <f>SUM(C5:C6)</f>
        <v>9.7088866315397378E-5</v>
      </c>
      <c r="D7" s="71"/>
    </row>
    <row r="8" spans="1:11" ht="15" x14ac:dyDescent="0.25">
      <c r="A8" s="9" t="s">
        <v>6</v>
      </c>
      <c r="B8" s="14"/>
      <c r="C8" s="16"/>
      <c r="D8" s="71"/>
    </row>
    <row r="9" spans="1:11" x14ac:dyDescent="0.2">
      <c r="A9" s="67" t="s">
        <v>181</v>
      </c>
      <c r="B9" s="77">
        <f>40673.83/1000</f>
        <v>40.673830000000002</v>
      </c>
      <c r="C9" s="69">
        <f t="shared" ref="C9:C19" si="0">B9/$B$140</f>
        <v>1.3874851117289617E-5</v>
      </c>
      <c r="H9" s="68"/>
    </row>
    <row r="10" spans="1:11" s="56" customFormat="1" x14ac:dyDescent="0.2">
      <c r="A10" s="67" t="s">
        <v>174</v>
      </c>
      <c r="B10" s="77">
        <f>75856.66/1000</f>
        <v>75.856660000000005</v>
      </c>
      <c r="C10" s="69">
        <f t="shared" si="0"/>
        <v>2.5876586093683793E-5</v>
      </c>
      <c r="D10" s="71"/>
      <c r="H10" s="68"/>
    </row>
    <row r="11" spans="1:11" s="56" customFormat="1" x14ac:dyDescent="0.2">
      <c r="A11" s="67" t="s">
        <v>175</v>
      </c>
      <c r="B11" s="77">
        <f>76071.8/1000</f>
        <v>76.071799999999996</v>
      </c>
      <c r="C11" s="69">
        <f t="shared" si="0"/>
        <v>2.5949975677830983E-5</v>
      </c>
      <c r="D11" s="71"/>
      <c r="H11" s="68"/>
    </row>
    <row r="12" spans="1:11" s="56" customFormat="1" x14ac:dyDescent="0.2">
      <c r="A12" s="67" t="s">
        <v>252</v>
      </c>
      <c r="B12" s="77">
        <v>3.8359999999999999</v>
      </c>
      <c r="C12" s="69">
        <f t="shared" si="0"/>
        <v>1.3085546378573881E-6</v>
      </c>
      <c r="D12" s="71"/>
      <c r="H12" s="68"/>
    </row>
    <row r="13" spans="1:11" s="56" customFormat="1" x14ac:dyDescent="0.2">
      <c r="A13" s="67" t="s">
        <v>177</v>
      </c>
      <c r="B13" s="78">
        <v>107.91</v>
      </c>
      <c r="C13" s="69">
        <f t="shared" si="0"/>
        <v>3.6810774497182155E-5</v>
      </c>
      <c r="D13" s="71"/>
      <c r="E13" s="71"/>
      <c r="H13" s="68"/>
    </row>
    <row r="14" spans="1:11" s="56" customFormat="1" x14ac:dyDescent="0.2">
      <c r="A14" s="67" t="s">
        <v>195</v>
      </c>
      <c r="B14" s="78">
        <v>106.6</v>
      </c>
      <c r="C14" s="69">
        <f t="shared" si="0"/>
        <v>3.6363901041605203E-5</v>
      </c>
      <c r="D14" s="71"/>
      <c r="H14" s="68"/>
    </row>
    <row r="15" spans="1:11" s="56" customFormat="1" x14ac:dyDescent="0.2">
      <c r="A15" s="67" t="s">
        <v>176</v>
      </c>
      <c r="B15" s="78">
        <v>80.41</v>
      </c>
      <c r="C15" s="69">
        <f t="shared" si="0"/>
        <v>2.7429843177818711E-5</v>
      </c>
      <c r="D15" s="71"/>
      <c r="H15" s="68"/>
    </row>
    <row r="16" spans="1:11" s="56" customFormat="1" x14ac:dyDescent="0.2">
      <c r="A16" s="67" t="s">
        <v>194</v>
      </c>
      <c r="B16" s="77">
        <v>90.387</v>
      </c>
      <c r="C16" s="69">
        <f t="shared" si="0"/>
        <v>3.0833245060483768E-5</v>
      </c>
      <c r="D16" s="71"/>
      <c r="H16" s="68"/>
    </row>
    <row r="17" spans="1:8" s="56" customFormat="1" x14ac:dyDescent="0.2">
      <c r="A17" s="67" t="s">
        <v>206</v>
      </c>
      <c r="B17" s="78">
        <v>20.81</v>
      </c>
      <c r="C17" s="69">
        <f t="shared" si="0"/>
        <v>7.098806572943755E-6</v>
      </c>
      <c r="D17" s="71"/>
      <c r="H17" s="68"/>
    </row>
    <row r="18" spans="1:8" s="56" customFormat="1" x14ac:dyDescent="0.2">
      <c r="A18" s="67" t="s">
        <v>222</v>
      </c>
      <c r="B18" s="68">
        <v>40.081000000000003</v>
      </c>
      <c r="C18" s="69">
        <f t="shared" si="0"/>
        <v>1.3672622116778408E-5</v>
      </c>
      <c r="D18" s="71"/>
      <c r="H18" s="68"/>
    </row>
    <row r="19" spans="1:8" s="56" customFormat="1" x14ac:dyDescent="0.2">
      <c r="A19" s="67" t="s">
        <v>207</v>
      </c>
      <c r="B19" s="78">
        <v>120.87</v>
      </c>
      <c r="C19" s="69">
        <f t="shared" si="0"/>
        <v>4.1231751584416711E-5</v>
      </c>
      <c r="D19" s="71"/>
      <c r="H19" s="68"/>
    </row>
    <row r="20" spans="1:8" ht="15" x14ac:dyDescent="0.25">
      <c r="A20" s="28" t="s">
        <v>8</v>
      </c>
      <c r="B20" s="29">
        <f>SUM(B9:B19)</f>
        <v>763.50629000000004</v>
      </c>
      <c r="C20" s="31">
        <f>SUM(C9:C19)</f>
        <v>2.604509115778905E-4</v>
      </c>
    </row>
    <row r="21" spans="1:8" ht="15" x14ac:dyDescent="0.25">
      <c r="A21" s="9" t="s">
        <v>9</v>
      </c>
      <c r="B21" s="14"/>
      <c r="C21" s="16"/>
    </row>
    <row r="22" spans="1:8" x14ac:dyDescent="0.2">
      <c r="A22" s="10" t="s">
        <v>10</v>
      </c>
      <c r="B22" s="14">
        <v>0</v>
      </c>
      <c r="C22" s="16">
        <f>B22/$B$140</f>
        <v>0</v>
      </c>
    </row>
    <row r="23" spans="1:8" x14ac:dyDescent="0.2">
      <c r="A23" s="10" t="s">
        <v>11</v>
      </c>
      <c r="B23" s="14">
        <v>0</v>
      </c>
      <c r="C23" s="16">
        <f>B23/$B$140</f>
        <v>0</v>
      </c>
    </row>
    <row r="24" spans="1:8" x14ac:dyDescent="0.2">
      <c r="A24" s="10" t="s">
        <v>12</v>
      </c>
      <c r="B24" s="14">
        <v>0</v>
      </c>
      <c r="C24" s="16">
        <f>B24/$B$140</f>
        <v>0</v>
      </c>
    </row>
    <row r="25" spans="1:8" ht="15" x14ac:dyDescent="0.25">
      <c r="A25" s="28" t="s">
        <v>13</v>
      </c>
      <c r="B25" s="29">
        <f>SUM(B22:B24)</f>
        <v>0</v>
      </c>
      <c r="C25" s="31">
        <f>B25/$B$140</f>
        <v>0</v>
      </c>
    </row>
    <row r="26" spans="1:8" ht="15" x14ac:dyDescent="0.25">
      <c r="A26" s="9" t="s">
        <v>14</v>
      </c>
      <c r="B26" s="14"/>
      <c r="C26" s="16"/>
    </row>
    <row r="27" spans="1:8" x14ac:dyDescent="0.2">
      <c r="A27" s="10" t="s">
        <v>10</v>
      </c>
      <c r="B27" s="14">
        <v>0</v>
      </c>
      <c r="C27" s="16">
        <f>B27/$B$140</f>
        <v>0</v>
      </c>
    </row>
    <row r="28" spans="1:8" x14ac:dyDescent="0.2">
      <c r="A28" s="10" t="s">
        <v>11</v>
      </c>
      <c r="B28" s="14">
        <v>0</v>
      </c>
      <c r="C28" s="16">
        <f>B28/$B$140</f>
        <v>0</v>
      </c>
    </row>
    <row r="29" spans="1:8" x14ac:dyDescent="0.2">
      <c r="A29" s="10" t="s">
        <v>12</v>
      </c>
      <c r="B29" s="14">
        <v>0</v>
      </c>
      <c r="C29" s="16">
        <f>B29/$B$140</f>
        <v>0</v>
      </c>
    </row>
    <row r="30" spans="1:8" ht="15" x14ac:dyDescent="0.25">
      <c r="A30" s="28" t="s">
        <v>15</v>
      </c>
      <c r="B30" s="29">
        <f>SUM(B27:B29)</f>
        <v>0</v>
      </c>
      <c r="C30" s="31">
        <f>B30/$B$140</f>
        <v>0</v>
      </c>
    </row>
    <row r="31" spans="1:8" ht="15" x14ac:dyDescent="0.25">
      <c r="A31" s="9" t="s">
        <v>16</v>
      </c>
      <c r="B31" s="14"/>
      <c r="C31" s="16"/>
    </row>
    <row r="32" spans="1:8" ht="15" x14ac:dyDescent="0.25">
      <c r="A32" s="9" t="s">
        <v>17</v>
      </c>
      <c r="B32" s="14"/>
      <c r="C32" s="16"/>
    </row>
    <row r="33" spans="1:4" s="56" customFormat="1" ht="14.25" customHeight="1" x14ac:dyDescent="0.2">
      <c r="A33" s="72" t="s">
        <v>227</v>
      </c>
      <c r="B33" s="56">
        <v>5.8</v>
      </c>
      <c r="C33" s="16">
        <f>B33/$B$140</f>
        <v>1.9785236964475627E-6</v>
      </c>
      <c r="D33" s="85"/>
    </row>
    <row r="34" spans="1:4" ht="14.25" customHeight="1" x14ac:dyDescent="0.2">
      <c r="A34" s="72" t="s">
        <v>228</v>
      </c>
      <c r="B34" s="56">
        <v>1.1499999999999999</v>
      </c>
      <c r="C34" s="16">
        <f>B34/$B$140</f>
        <v>3.9229349153701676E-7</v>
      </c>
      <c r="D34" s="85"/>
    </row>
    <row r="35" spans="1:4" ht="15" customHeight="1" x14ac:dyDescent="0.25">
      <c r="A35" s="28" t="s">
        <v>19</v>
      </c>
      <c r="B35" s="29">
        <f>SUM(B33:B34)</f>
        <v>6.9499999999999993</v>
      </c>
      <c r="C35" s="31">
        <f>B35/$B$140</f>
        <v>2.3708171879845792E-6</v>
      </c>
      <c r="D35" s="85"/>
    </row>
    <row r="36" spans="1:4" ht="15" customHeight="1" x14ac:dyDescent="0.25">
      <c r="A36" s="9" t="s">
        <v>20</v>
      </c>
      <c r="B36" s="14"/>
      <c r="C36" s="16"/>
      <c r="D36" s="85"/>
    </row>
    <row r="37" spans="1:4" ht="14.25" customHeight="1" x14ac:dyDescent="0.2">
      <c r="A37" s="72" t="s">
        <v>32</v>
      </c>
      <c r="B37" s="56">
        <v>0.79</v>
      </c>
      <c r="C37" s="16">
        <f t="shared" ref="C37:C47" si="1">B37/$B$140</f>
        <v>2.6948857244716804E-7</v>
      </c>
      <c r="D37" s="85"/>
    </row>
    <row r="38" spans="1:4" ht="14.25" customHeight="1" x14ac:dyDescent="0.2">
      <c r="A38" s="72" t="s">
        <v>122</v>
      </c>
      <c r="B38" s="56">
        <v>17.48</v>
      </c>
      <c r="C38" s="16">
        <f t="shared" si="1"/>
        <v>5.9628610713626547E-6</v>
      </c>
      <c r="D38" s="85"/>
    </row>
    <row r="39" spans="1:4" s="50" customFormat="1" ht="14.25" customHeight="1" x14ac:dyDescent="0.2">
      <c r="A39" s="72" t="s">
        <v>167</v>
      </c>
      <c r="B39" s="56">
        <v>12.11</v>
      </c>
      <c r="C39" s="16">
        <f t="shared" si="1"/>
        <v>4.1310210282724113E-6</v>
      </c>
      <c r="D39" s="85"/>
    </row>
    <row r="40" spans="1:4" s="50" customFormat="1" ht="14.25" customHeight="1" x14ac:dyDescent="0.2">
      <c r="A40" s="72" t="s">
        <v>178</v>
      </c>
      <c r="B40" s="56">
        <v>11.51</v>
      </c>
      <c r="C40" s="16">
        <f t="shared" si="1"/>
        <v>3.9263461631226638E-6</v>
      </c>
      <c r="D40" s="85"/>
    </row>
    <row r="41" spans="1:4" s="50" customFormat="1" ht="14.25" customHeight="1" x14ac:dyDescent="0.2">
      <c r="A41" s="72" t="s">
        <v>127</v>
      </c>
      <c r="B41" s="56">
        <v>13.74</v>
      </c>
      <c r="C41" s="16">
        <f t="shared" si="1"/>
        <v>4.6870544119292268E-6</v>
      </c>
      <c r="D41" s="85"/>
    </row>
    <row r="42" spans="1:4" s="56" customFormat="1" ht="14.25" customHeight="1" x14ac:dyDescent="0.2">
      <c r="A42" s="72" t="s">
        <v>128</v>
      </c>
      <c r="B42" s="56">
        <v>65.459999999999994</v>
      </c>
      <c r="C42" s="16">
        <f t="shared" si="1"/>
        <v>2.2330027787837493E-5</v>
      </c>
      <c r="D42" s="85"/>
    </row>
    <row r="43" spans="1:4" s="56" customFormat="1" ht="14.25" customHeight="1" x14ac:dyDescent="0.2">
      <c r="A43" s="72" t="s">
        <v>129</v>
      </c>
      <c r="B43" s="56">
        <v>12.14</v>
      </c>
      <c r="C43" s="16">
        <f t="shared" si="1"/>
        <v>4.1412547715298987E-6</v>
      </c>
      <c r="D43" s="85"/>
    </row>
    <row r="44" spans="1:4" s="56" customFormat="1" ht="14.25" customHeight="1" x14ac:dyDescent="0.2">
      <c r="A44" s="72" t="s">
        <v>197</v>
      </c>
      <c r="B44" s="56">
        <v>20.41</v>
      </c>
      <c r="C44" s="16">
        <f t="shared" si="1"/>
        <v>6.9623566628439237E-6</v>
      </c>
      <c r="D44" s="85"/>
    </row>
    <row r="45" spans="1:4" s="56" customFormat="1" ht="14.25" customHeight="1" x14ac:dyDescent="0.2">
      <c r="A45" s="72" t="s">
        <v>208</v>
      </c>
      <c r="B45" s="56">
        <v>11.78</v>
      </c>
      <c r="C45" s="16">
        <f t="shared" si="1"/>
        <v>4.0184498524400501E-6</v>
      </c>
      <c r="D45" s="85"/>
    </row>
    <row r="46" spans="1:4" s="56" customFormat="1" ht="14.25" customHeight="1" x14ac:dyDescent="0.2">
      <c r="A46" s="72" t="s">
        <v>209</v>
      </c>
      <c r="B46" s="56">
        <v>3.22</v>
      </c>
      <c r="C46" s="16">
        <f t="shared" si="1"/>
        <v>1.0984217763036471E-6</v>
      </c>
      <c r="D46" s="85"/>
    </row>
    <row r="47" spans="1:4" s="56" customFormat="1" ht="14.25" customHeight="1" x14ac:dyDescent="0.2">
      <c r="A47" s="75" t="s">
        <v>244</v>
      </c>
      <c r="B47" s="56">
        <v>1.91</v>
      </c>
      <c r="C47" s="16">
        <f t="shared" si="1"/>
        <v>6.5154832072669739E-7</v>
      </c>
      <c r="D47" s="85"/>
    </row>
    <row r="48" spans="1:4" ht="15" customHeight="1" x14ac:dyDescent="0.25">
      <c r="A48" s="28" t="s">
        <v>21</v>
      </c>
      <c r="B48" s="29">
        <f>SUM(B37:B47)</f>
        <v>170.55</v>
      </c>
      <c r="C48" s="31">
        <f>SUM(C37:C47)</f>
        <v>5.8178830418815842E-5</v>
      </c>
      <c r="D48" s="85"/>
    </row>
    <row r="49" spans="1:7" ht="15" customHeight="1" x14ac:dyDescent="0.25">
      <c r="A49" s="9" t="s">
        <v>22</v>
      </c>
      <c r="B49" s="15">
        <f>SUM(B35,B48)</f>
        <v>177.5</v>
      </c>
      <c r="C49" s="17">
        <f>B49/$B$140</f>
        <v>6.0549647606800413E-5</v>
      </c>
      <c r="D49" s="85"/>
    </row>
    <row r="50" spans="1:7" ht="15" customHeight="1" x14ac:dyDescent="0.25">
      <c r="A50" s="9" t="s">
        <v>23</v>
      </c>
      <c r="B50" s="14"/>
      <c r="C50" s="16"/>
      <c r="D50" s="85"/>
    </row>
    <row r="51" spans="1:7" ht="15" customHeight="1" x14ac:dyDescent="0.25">
      <c r="A51" s="9" t="s">
        <v>24</v>
      </c>
      <c r="B51" s="14"/>
      <c r="C51" s="16"/>
      <c r="D51" s="85"/>
    </row>
    <row r="52" spans="1:7" ht="14.25" customHeight="1" x14ac:dyDescent="0.2">
      <c r="A52" s="72" t="s">
        <v>161</v>
      </c>
      <c r="B52" s="56"/>
      <c r="C52" s="16">
        <f t="shared" ref="C52:C62" si="2">B52/$B$140</f>
        <v>0</v>
      </c>
      <c r="D52" s="85"/>
    </row>
    <row r="53" spans="1:7" ht="14.25" customHeight="1" x14ac:dyDescent="0.2">
      <c r="A53" s="72" t="s">
        <v>198</v>
      </c>
      <c r="B53" s="56"/>
      <c r="C53" s="16">
        <f t="shared" si="2"/>
        <v>0</v>
      </c>
      <c r="D53" s="85"/>
    </row>
    <row r="54" spans="1:7" s="56" customFormat="1" ht="14.25" customHeight="1" x14ac:dyDescent="0.2">
      <c r="A54" s="75" t="s">
        <v>245</v>
      </c>
      <c r="B54" s="86">
        <v>570.78187025917453</v>
      </c>
      <c r="C54" s="16">
        <f t="shared" si="2"/>
        <v>1.9470783720869573E-4</v>
      </c>
      <c r="D54" s="85"/>
    </row>
    <row r="55" spans="1:7" ht="14.25" customHeight="1" x14ac:dyDescent="0.2">
      <c r="A55" s="72" t="s">
        <v>246</v>
      </c>
      <c r="B55" s="86">
        <v>286.15571655467767</v>
      </c>
      <c r="C55" s="16">
        <f t="shared" si="2"/>
        <v>9.7614804496096874E-5</v>
      </c>
      <c r="D55" s="85"/>
      <c r="E55" s="56"/>
      <c r="F55" s="56"/>
      <c r="G55" s="56"/>
    </row>
    <row r="56" spans="1:7" ht="14.25" customHeight="1" x14ac:dyDescent="0.2">
      <c r="A56" s="72" t="s">
        <v>163</v>
      </c>
      <c r="B56" s="86"/>
      <c r="C56" s="16">
        <f t="shared" si="2"/>
        <v>0</v>
      </c>
      <c r="D56" s="85"/>
      <c r="E56" s="56"/>
      <c r="F56" s="56"/>
      <c r="G56" s="56"/>
    </row>
    <row r="57" spans="1:7" s="56" customFormat="1" ht="14.25" customHeight="1" x14ac:dyDescent="0.2">
      <c r="A57" s="72" t="s">
        <v>164</v>
      </c>
      <c r="B57" s="86"/>
      <c r="C57" s="16">
        <f t="shared" si="2"/>
        <v>0</v>
      </c>
      <c r="D57" s="85"/>
    </row>
    <row r="58" spans="1:7" s="56" customFormat="1" ht="14.25" customHeight="1" x14ac:dyDescent="0.2">
      <c r="A58" s="72" t="s">
        <v>168</v>
      </c>
      <c r="B58" s="86"/>
      <c r="C58" s="16">
        <f t="shared" si="2"/>
        <v>0</v>
      </c>
      <c r="D58" s="85"/>
    </row>
    <row r="59" spans="1:7" s="56" customFormat="1" ht="14.25" customHeight="1" x14ac:dyDescent="0.2">
      <c r="A59" s="72" t="s">
        <v>165</v>
      </c>
      <c r="B59" s="86"/>
      <c r="C59" s="16">
        <f t="shared" si="2"/>
        <v>0</v>
      </c>
      <c r="D59" s="85"/>
    </row>
    <row r="60" spans="1:7" s="56" customFormat="1" ht="14.25" customHeight="1" x14ac:dyDescent="0.2">
      <c r="A60" s="75" t="s">
        <v>247</v>
      </c>
      <c r="B60" s="86">
        <v>215.54089830465921</v>
      </c>
      <c r="C60" s="16">
        <f t="shared" si="2"/>
        <v>7.3526340491269403E-5</v>
      </c>
      <c r="D60" s="85"/>
    </row>
    <row r="61" spans="1:7" s="56" customFormat="1" ht="14.25" customHeight="1" x14ac:dyDescent="0.2">
      <c r="A61" s="72" t="s">
        <v>210</v>
      </c>
      <c r="B61" s="86">
        <v>15.741750999778484</v>
      </c>
      <c r="C61" s="16">
        <f t="shared" si="2"/>
        <v>5.3699012718342835E-6</v>
      </c>
      <c r="D61" s="85"/>
    </row>
    <row r="62" spans="1:7" s="56" customFormat="1" ht="14.25" customHeight="1" x14ac:dyDescent="0.2">
      <c r="A62" s="72" t="s">
        <v>26</v>
      </c>
      <c r="B62" s="86">
        <v>638.01890388171012</v>
      </c>
      <c r="C62" s="16">
        <f t="shared" si="2"/>
        <v>2.1764405519163161E-4</v>
      </c>
      <c r="D62" s="85"/>
    </row>
    <row r="63" spans="1:7" ht="15" customHeight="1" x14ac:dyDescent="0.25">
      <c r="A63" s="28" t="s">
        <v>27</v>
      </c>
      <c r="B63" s="29">
        <f>SUM(B52:B62)</f>
        <v>1726.2391400000001</v>
      </c>
      <c r="C63" s="31">
        <f>SUM(C52:C62)</f>
        <v>5.8886293865952782E-4</v>
      </c>
      <c r="D63" s="85"/>
      <c r="E63" s="56"/>
      <c r="F63" s="56"/>
      <c r="G63" s="56"/>
    </row>
    <row r="64" spans="1:7" ht="15" customHeight="1" x14ac:dyDescent="0.25">
      <c r="A64" s="9" t="s">
        <v>28</v>
      </c>
      <c r="B64" s="14"/>
      <c r="C64" s="16"/>
      <c r="D64" s="85"/>
    </row>
    <row r="65" spans="1:4" ht="14.25" customHeight="1" x14ac:dyDescent="0.2">
      <c r="A65" s="75" t="s">
        <v>214</v>
      </c>
      <c r="B65" s="56">
        <v>0</v>
      </c>
      <c r="C65" s="16">
        <f t="shared" ref="C65:C96" si="3">B65/$B$140</f>
        <v>0</v>
      </c>
      <c r="D65" s="85"/>
    </row>
    <row r="66" spans="1:4" ht="14.25" customHeight="1" x14ac:dyDescent="0.2">
      <c r="A66" s="75" t="s">
        <v>192</v>
      </c>
      <c r="B66" s="56">
        <v>5.89</v>
      </c>
      <c r="C66" s="16">
        <f t="shared" si="3"/>
        <v>2.009224926220025E-6</v>
      </c>
      <c r="D66" s="85"/>
    </row>
    <row r="67" spans="1:4" ht="14.25" customHeight="1" x14ac:dyDescent="0.2">
      <c r="A67" s="75" t="s">
        <v>29</v>
      </c>
      <c r="B67" s="56">
        <v>3.02</v>
      </c>
      <c r="C67" s="16">
        <f t="shared" si="3"/>
        <v>1.030196821253731E-6</v>
      </c>
      <c r="D67" s="85"/>
    </row>
    <row r="68" spans="1:4" ht="14.25" customHeight="1" x14ac:dyDescent="0.2">
      <c r="A68" s="75" t="s">
        <v>30</v>
      </c>
      <c r="B68" s="56">
        <v>3.66</v>
      </c>
      <c r="C68" s="16">
        <f t="shared" si="3"/>
        <v>1.248516677413462E-6</v>
      </c>
      <c r="D68" s="85"/>
    </row>
    <row r="69" spans="1:4" ht="14.25" customHeight="1" x14ac:dyDescent="0.2">
      <c r="A69" s="75" t="s">
        <v>31</v>
      </c>
      <c r="B69" s="56">
        <v>0.7</v>
      </c>
      <c r="C69" s="16">
        <f t="shared" si="3"/>
        <v>2.3878734267470582E-7</v>
      </c>
      <c r="D69" s="85"/>
    </row>
    <row r="70" spans="1:4" ht="14.25" customHeight="1" x14ac:dyDescent="0.2">
      <c r="A70" s="75" t="s">
        <v>33</v>
      </c>
      <c r="B70" s="56">
        <v>2.79</v>
      </c>
      <c r="C70" s="16">
        <f t="shared" si="3"/>
        <v>9.5173812294632759E-7</v>
      </c>
      <c r="D70" s="85"/>
    </row>
    <row r="71" spans="1:4" ht="14.25" customHeight="1" x14ac:dyDescent="0.2">
      <c r="A71" s="75" t="s">
        <v>34</v>
      </c>
      <c r="B71" s="56">
        <v>3.44</v>
      </c>
      <c r="C71" s="16">
        <f t="shared" si="3"/>
        <v>1.1734692268585545E-6</v>
      </c>
      <c r="D71" s="85"/>
    </row>
    <row r="72" spans="1:4" ht="14.25" customHeight="1" x14ac:dyDescent="0.2">
      <c r="A72" s="75" t="s">
        <v>35</v>
      </c>
      <c r="B72" s="56">
        <v>1.43</v>
      </c>
      <c r="C72" s="16">
        <f t="shared" si="3"/>
        <v>4.8780842860689909E-7</v>
      </c>
      <c r="D72" s="85"/>
    </row>
    <row r="73" spans="1:4" ht="14.25" customHeight="1" x14ac:dyDescent="0.2">
      <c r="A73" s="75" t="s">
        <v>199</v>
      </c>
      <c r="B73" s="56">
        <v>1.81</v>
      </c>
      <c r="C73" s="16">
        <f t="shared" si="3"/>
        <v>6.1743584320173944E-7</v>
      </c>
      <c r="D73" s="85"/>
    </row>
    <row r="74" spans="1:4" ht="14.25" customHeight="1" x14ac:dyDescent="0.2">
      <c r="A74" s="75" t="s">
        <v>36</v>
      </c>
      <c r="B74" s="56">
        <v>24.05</v>
      </c>
      <c r="C74" s="16">
        <f t="shared" si="3"/>
        <v>8.2040508447523939E-6</v>
      </c>
      <c r="D74" s="85"/>
    </row>
    <row r="75" spans="1:4" ht="14.25" customHeight="1" x14ac:dyDescent="0.2">
      <c r="A75" s="75" t="s">
        <v>112</v>
      </c>
      <c r="B75" s="56">
        <v>0.71</v>
      </c>
      <c r="C75" s="16">
        <f t="shared" si="3"/>
        <v>2.4219859042720165E-7</v>
      </c>
      <c r="D75" s="85"/>
    </row>
    <row r="76" spans="1:4" ht="14.25" customHeight="1" x14ac:dyDescent="0.2">
      <c r="A76" s="75" t="s">
        <v>113</v>
      </c>
      <c r="B76" s="56">
        <v>2.56</v>
      </c>
      <c r="C76" s="16">
        <f t="shared" si="3"/>
        <v>8.7327942463892433E-7</v>
      </c>
      <c r="D76" s="85"/>
    </row>
    <row r="77" spans="1:4" ht="14.25" customHeight="1" x14ac:dyDescent="0.2">
      <c r="A77" s="75" t="s">
        <v>37</v>
      </c>
      <c r="B77" s="56">
        <v>4.4400000000000004</v>
      </c>
      <c r="C77" s="16">
        <f t="shared" si="3"/>
        <v>1.5145940021081345E-6</v>
      </c>
      <c r="D77" s="85"/>
    </row>
    <row r="78" spans="1:4" ht="14.25" customHeight="1" x14ac:dyDescent="0.2">
      <c r="A78" s="75" t="s">
        <v>180</v>
      </c>
      <c r="B78" s="56">
        <v>13.11</v>
      </c>
      <c r="C78" s="16">
        <f t="shared" si="3"/>
        <v>4.472145803521991E-6</v>
      </c>
      <c r="D78" s="85"/>
    </row>
    <row r="79" spans="1:4" ht="14.25" customHeight="1" x14ac:dyDescent="0.2">
      <c r="A79" s="75" t="s">
        <v>130</v>
      </c>
      <c r="B79" s="56">
        <v>0.96</v>
      </c>
      <c r="C79" s="16">
        <f t="shared" si="3"/>
        <v>3.2747978423959659E-7</v>
      </c>
      <c r="D79" s="85"/>
    </row>
    <row r="80" spans="1:4" ht="14.25" customHeight="1" x14ac:dyDescent="0.2">
      <c r="A80" s="75" t="s">
        <v>223</v>
      </c>
      <c r="B80" s="56">
        <v>2.65</v>
      </c>
      <c r="C80" s="16">
        <f t="shared" si="3"/>
        <v>9.0398065441138639E-7</v>
      </c>
      <c r="D80" s="85"/>
    </row>
    <row r="81" spans="1:4" ht="14.25" customHeight="1" x14ac:dyDescent="0.2">
      <c r="A81" s="75" t="s">
        <v>38</v>
      </c>
      <c r="B81" s="56">
        <v>33.44</v>
      </c>
      <c r="C81" s="16">
        <f t="shared" si="3"/>
        <v>1.1407212484345948E-5</v>
      </c>
      <c r="D81" s="85"/>
    </row>
    <row r="82" spans="1:4" ht="14.25" customHeight="1" x14ac:dyDescent="0.2">
      <c r="A82" s="75" t="s">
        <v>123</v>
      </c>
      <c r="B82" s="56">
        <v>0.81</v>
      </c>
      <c r="C82" s="16">
        <f t="shared" si="3"/>
        <v>2.7631106795215966E-7</v>
      </c>
      <c r="D82" s="85"/>
    </row>
    <row r="83" spans="1:4" ht="14.25" customHeight="1" x14ac:dyDescent="0.2">
      <c r="A83" s="75" t="s">
        <v>131</v>
      </c>
      <c r="B83" s="56">
        <v>14.11</v>
      </c>
      <c r="C83" s="16">
        <f t="shared" si="3"/>
        <v>4.8132705787715707E-6</v>
      </c>
      <c r="D83" s="85"/>
    </row>
    <row r="84" spans="1:4" ht="14.25" customHeight="1" x14ac:dyDescent="0.2">
      <c r="A84" s="75" t="s">
        <v>132</v>
      </c>
      <c r="B84" s="56">
        <v>11.49</v>
      </c>
      <c r="C84" s="16">
        <f t="shared" si="3"/>
        <v>3.9195236676176716E-6</v>
      </c>
      <c r="D84" s="85"/>
    </row>
    <row r="85" spans="1:4" ht="14.25" customHeight="1" x14ac:dyDescent="0.2">
      <c r="A85" s="75" t="s">
        <v>182</v>
      </c>
      <c r="B85" s="56">
        <v>9.93</v>
      </c>
      <c r="C85" s="16">
        <f t="shared" si="3"/>
        <v>3.3873690182283271E-6</v>
      </c>
      <c r="D85" s="85"/>
    </row>
    <row r="86" spans="1:4" ht="14.25" customHeight="1" x14ac:dyDescent="0.2">
      <c r="A86" s="75" t="s">
        <v>133</v>
      </c>
      <c r="B86" s="56">
        <v>5.99</v>
      </c>
      <c r="C86" s="16">
        <f t="shared" si="3"/>
        <v>2.0433374037449831E-6</v>
      </c>
      <c r="D86" s="85"/>
    </row>
    <row r="87" spans="1:4" ht="14.25" customHeight="1" x14ac:dyDescent="0.2">
      <c r="A87" s="75" t="s">
        <v>39</v>
      </c>
      <c r="B87" s="56">
        <v>5.68</v>
      </c>
      <c r="C87" s="16">
        <f t="shared" si="3"/>
        <v>1.9375887234176132E-6</v>
      </c>
      <c r="D87" s="85"/>
    </row>
    <row r="88" spans="1:4" ht="14.25" customHeight="1" x14ac:dyDescent="0.2">
      <c r="A88" s="75" t="s">
        <v>134</v>
      </c>
      <c r="B88" s="56">
        <v>7.98</v>
      </c>
      <c r="C88" s="16">
        <f t="shared" si="3"/>
        <v>2.7221757064916469E-6</v>
      </c>
      <c r="D88" s="85"/>
    </row>
    <row r="89" spans="1:4" ht="14.25" customHeight="1" x14ac:dyDescent="0.2">
      <c r="A89" s="75" t="s">
        <v>120</v>
      </c>
      <c r="B89" s="56">
        <v>2.62</v>
      </c>
      <c r="C89" s="16">
        <f t="shared" si="3"/>
        <v>8.9374691115389915E-7</v>
      </c>
      <c r="D89" s="85"/>
    </row>
    <row r="90" spans="1:4" ht="14.25" customHeight="1" x14ac:dyDescent="0.2">
      <c r="A90" s="75" t="s">
        <v>183</v>
      </c>
      <c r="B90" s="56">
        <v>2.86</v>
      </c>
      <c r="C90" s="16">
        <f t="shared" si="3"/>
        <v>9.7561685721379819E-7</v>
      </c>
      <c r="D90" s="85"/>
    </row>
    <row r="91" spans="1:4" ht="14.25" customHeight="1" x14ac:dyDescent="0.2">
      <c r="A91" s="75" t="s">
        <v>121</v>
      </c>
      <c r="B91" s="56">
        <v>2.66</v>
      </c>
      <c r="C91" s="16">
        <f t="shared" si="3"/>
        <v>9.0739190216388229E-7</v>
      </c>
      <c r="D91" s="85"/>
    </row>
    <row r="92" spans="1:4" ht="14.25" customHeight="1" x14ac:dyDescent="0.2">
      <c r="A92" s="75" t="s">
        <v>114</v>
      </c>
      <c r="B92" s="56">
        <v>11.13</v>
      </c>
      <c r="C92" s="16">
        <f t="shared" si="3"/>
        <v>3.7967187485278233E-6</v>
      </c>
      <c r="D92" s="85"/>
    </row>
    <row r="93" spans="1:4" ht="14.25" customHeight="1" x14ac:dyDescent="0.2">
      <c r="A93" s="75" t="s">
        <v>115</v>
      </c>
      <c r="B93" s="56">
        <v>15.86</v>
      </c>
      <c r="C93" s="16">
        <f t="shared" si="3"/>
        <v>5.4102389354583352E-6</v>
      </c>
      <c r="D93" s="85"/>
    </row>
    <row r="94" spans="1:4" ht="14.25" customHeight="1" x14ac:dyDescent="0.2">
      <c r="A94" s="75" t="s">
        <v>200</v>
      </c>
      <c r="B94" s="56">
        <v>7.0000000000000007E-2</v>
      </c>
      <c r="C94" s="16">
        <f t="shared" si="3"/>
        <v>2.3878734267470588E-8</v>
      </c>
      <c r="D94" s="85"/>
    </row>
    <row r="95" spans="1:4" ht="14.25" customHeight="1" x14ac:dyDescent="0.2">
      <c r="A95" s="75" t="s">
        <v>211</v>
      </c>
      <c r="B95" s="56">
        <v>4.53</v>
      </c>
      <c r="C95" s="16">
        <f t="shared" si="3"/>
        <v>1.5452952318805966E-6</v>
      </c>
      <c r="D95" s="85"/>
    </row>
    <row r="96" spans="1:4" ht="14.25" customHeight="1" x14ac:dyDescent="0.2">
      <c r="A96" s="75" t="s">
        <v>212</v>
      </c>
      <c r="B96" s="56">
        <v>7.73</v>
      </c>
      <c r="C96" s="16">
        <f t="shared" si="3"/>
        <v>2.6368945126792519E-6</v>
      </c>
      <c r="D96" s="85"/>
    </row>
    <row r="97" spans="1:4" ht="14.25" customHeight="1" x14ac:dyDescent="0.2">
      <c r="A97" s="75" t="s">
        <v>135</v>
      </c>
      <c r="B97" s="56">
        <v>1.03</v>
      </c>
      <c r="C97" s="16">
        <f t="shared" ref="C97:C124" si="4">B97/$B$140</f>
        <v>3.5135851850706718E-7</v>
      </c>
      <c r="D97" s="85"/>
    </row>
    <row r="98" spans="1:4" ht="14.25" customHeight="1" x14ac:dyDescent="0.2">
      <c r="A98" s="75" t="s">
        <v>124</v>
      </c>
      <c r="B98" s="56">
        <v>4.3600000000000003</v>
      </c>
      <c r="C98" s="16">
        <f t="shared" si="4"/>
        <v>1.487304020088168E-6</v>
      </c>
      <c r="D98" s="85"/>
    </row>
    <row r="99" spans="1:4" ht="14.25" customHeight="1" x14ac:dyDescent="0.2">
      <c r="A99" s="75" t="s">
        <v>125</v>
      </c>
      <c r="B99" s="56">
        <v>5.29</v>
      </c>
      <c r="C99" s="16">
        <f t="shared" si="4"/>
        <v>1.8045500610702771E-6</v>
      </c>
      <c r="D99" s="85"/>
    </row>
    <row r="100" spans="1:4" ht="14.25" customHeight="1" x14ac:dyDescent="0.2">
      <c r="A100" s="75" t="s">
        <v>126</v>
      </c>
      <c r="B100" s="56">
        <v>2.04</v>
      </c>
      <c r="C100" s="16">
        <f t="shared" si="4"/>
        <v>6.958945415091428E-7</v>
      </c>
      <c r="D100" s="85"/>
    </row>
    <row r="101" spans="1:4" ht="14.25" customHeight="1" x14ac:dyDescent="0.2">
      <c r="A101" s="75" t="s">
        <v>136</v>
      </c>
      <c r="B101" s="56">
        <v>5.24</v>
      </c>
      <c r="C101" s="16">
        <f t="shared" si="4"/>
        <v>1.7874938223077983E-6</v>
      </c>
      <c r="D101" s="85"/>
    </row>
    <row r="102" spans="1:4" ht="14.25" customHeight="1" x14ac:dyDescent="0.2">
      <c r="A102" s="75" t="s">
        <v>193</v>
      </c>
      <c r="B102" s="56">
        <v>54.84</v>
      </c>
      <c r="C102" s="16">
        <f t="shared" si="4"/>
        <v>1.8707282674686957E-5</v>
      </c>
      <c r="D102" s="85"/>
    </row>
    <row r="103" spans="1:4" ht="14.25" customHeight="1" x14ac:dyDescent="0.2">
      <c r="A103" s="75" t="s">
        <v>169</v>
      </c>
      <c r="B103" s="56">
        <v>0.12</v>
      </c>
      <c r="C103" s="16">
        <f t="shared" si="4"/>
        <v>4.0934973029949573E-8</v>
      </c>
      <c r="D103" s="85"/>
    </row>
    <row r="104" spans="1:4" ht="14.25" customHeight="1" x14ac:dyDescent="0.2">
      <c r="A104" s="75" t="s">
        <v>166</v>
      </c>
      <c r="B104" s="56">
        <v>3.82</v>
      </c>
      <c r="C104" s="16">
        <f t="shared" si="4"/>
        <v>1.3030966414533948E-6</v>
      </c>
      <c r="D104" s="85"/>
    </row>
    <row r="105" spans="1:4" ht="14.25" customHeight="1" x14ac:dyDescent="0.2">
      <c r="A105" s="75" t="s">
        <v>213</v>
      </c>
      <c r="B105" s="56">
        <v>17.149999999999999</v>
      </c>
      <c r="C105" s="16">
        <f t="shared" si="4"/>
        <v>5.8502898955302926E-6</v>
      </c>
      <c r="D105" s="85"/>
    </row>
    <row r="106" spans="1:4" ht="14.25" customHeight="1" x14ac:dyDescent="0.2">
      <c r="A106" s="75" t="s">
        <v>184</v>
      </c>
      <c r="B106" s="56">
        <v>0.76</v>
      </c>
      <c r="C106" s="16">
        <f t="shared" si="4"/>
        <v>2.5925482918968063E-7</v>
      </c>
      <c r="D106" s="85"/>
    </row>
    <row r="107" spans="1:4" ht="14.25" customHeight="1" x14ac:dyDescent="0.2">
      <c r="A107" s="75" t="s">
        <v>185</v>
      </c>
      <c r="B107" s="56">
        <v>2.78</v>
      </c>
      <c r="C107" s="16">
        <f t="shared" si="4"/>
        <v>9.4832687519383181E-7</v>
      </c>
      <c r="D107" s="85"/>
    </row>
    <row r="108" spans="1:4" ht="14.25" customHeight="1" x14ac:dyDescent="0.2">
      <c r="A108" s="75" t="s">
        <v>224</v>
      </c>
      <c r="B108" s="56">
        <v>3.32</v>
      </c>
      <c r="C108" s="16">
        <f t="shared" si="4"/>
        <v>1.1325342538286049E-6</v>
      </c>
      <c r="D108" s="85"/>
    </row>
    <row r="109" spans="1:4" ht="14.25" customHeight="1" x14ac:dyDescent="0.2">
      <c r="A109" s="75" t="s">
        <v>186</v>
      </c>
      <c r="B109" s="56">
        <v>18.05</v>
      </c>
      <c r="C109" s="16">
        <f t="shared" si="4"/>
        <v>6.1573021932549155E-6</v>
      </c>
      <c r="D109" s="85"/>
    </row>
    <row r="110" spans="1:4" ht="14.25" customHeight="1" x14ac:dyDescent="0.2">
      <c r="A110" s="75" t="s">
        <v>225</v>
      </c>
      <c r="B110" s="56">
        <v>8.74</v>
      </c>
      <c r="C110" s="16">
        <f t="shared" si="4"/>
        <v>2.9814305356813273E-6</v>
      </c>
      <c r="D110" s="85"/>
    </row>
    <row r="111" spans="1:4" ht="14.25" customHeight="1" x14ac:dyDescent="0.2">
      <c r="A111" s="75" t="s">
        <v>201</v>
      </c>
      <c r="B111" s="56">
        <v>0.32</v>
      </c>
      <c r="C111" s="16">
        <f t="shared" si="4"/>
        <v>1.0915992807986554E-7</v>
      </c>
      <c r="D111" s="85"/>
    </row>
    <row r="112" spans="1:4" ht="14.25" customHeight="1" x14ac:dyDescent="0.2">
      <c r="A112" s="75" t="s">
        <v>202</v>
      </c>
      <c r="B112" s="56">
        <v>3.47</v>
      </c>
      <c r="C112" s="16">
        <f t="shared" si="4"/>
        <v>1.183702970116042E-6</v>
      </c>
      <c r="D112" s="85"/>
    </row>
    <row r="113" spans="1:4" ht="14.25" customHeight="1" x14ac:dyDescent="0.2">
      <c r="A113" s="75" t="s">
        <v>248</v>
      </c>
      <c r="B113" s="56">
        <v>0</v>
      </c>
      <c r="C113" s="16">
        <f t="shared" si="4"/>
        <v>0</v>
      </c>
      <c r="D113" s="85"/>
    </row>
    <row r="114" spans="1:4" ht="14.25" customHeight="1" x14ac:dyDescent="0.2">
      <c r="A114" s="75" t="s">
        <v>215</v>
      </c>
      <c r="B114" s="56">
        <v>4.17</v>
      </c>
      <c r="C114" s="16">
        <f t="shared" si="4"/>
        <v>1.4224903127907478E-6</v>
      </c>
      <c r="D114" s="85"/>
    </row>
    <row r="115" spans="1:4" ht="14.25" customHeight="1" x14ac:dyDescent="0.2">
      <c r="A115" s="75" t="s">
        <v>226</v>
      </c>
      <c r="B115" s="56">
        <v>1.01</v>
      </c>
      <c r="C115" s="16">
        <f t="shared" si="4"/>
        <v>3.4453602300207561E-7</v>
      </c>
      <c r="D115" s="85"/>
    </row>
    <row r="116" spans="1:4" ht="14.25" customHeight="1" x14ac:dyDescent="0.2">
      <c r="A116" s="75" t="s">
        <v>249</v>
      </c>
      <c r="B116" s="56">
        <v>1.0900000000000001</v>
      </c>
      <c r="C116" s="16">
        <f t="shared" si="4"/>
        <v>3.71826005022042E-7</v>
      </c>
      <c r="D116" s="85"/>
    </row>
    <row r="117" spans="1:4" ht="14.25" customHeight="1" x14ac:dyDescent="0.2">
      <c r="A117" s="75" t="s">
        <v>250</v>
      </c>
      <c r="B117" s="56">
        <v>0.02</v>
      </c>
      <c r="C117" s="16">
        <f t="shared" si="4"/>
        <v>6.8224955049915964E-9</v>
      </c>
      <c r="D117" s="85"/>
    </row>
    <row r="118" spans="1:4" s="50" customFormat="1" ht="14.25" customHeight="1" x14ac:dyDescent="0.2">
      <c r="A118" s="75" t="s">
        <v>251</v>
      </c>
      <c r="B118" s="56">
        <v>0.17</v>
      </c>
      <c r="C118" s="16">
        <f t="shared" si="4"/>
        <v>5.7991211792428569E-8</v>
      </c>
      <c r="D118" s="85"/>
    </row>
    <row r="119" spans="1:4" s="56" customFormat="1" ht="14.25" customHeight="1" x14ac:dyDescent="0.2">
      <c r="A119" s="75" t="s">
        <v>40</v>
      </c>
      <c r="B119" s="56">
        <v>30.53</v>
      </c>
      <c r="C119" s="16">
        <f t="shared" si="4"/>
        <v>1.0414539388369672E-5</v>
      </c>
      <c r="D119" s="85"/>
    </row>
    <row r="120" spans="1:4" s="56" customFormat="1" ht="14.25" customHeight="1" x14ac:dyDescent="0.2">
      <c r="A120" s="75" t="s">
        <v>41</v>
      </c>
      <c r="B120" s="56">
        <v>8.59</v>
      </c>
      <c r="C120" s="16">
        <f t="shared" si="4"/>
        <v>2.9302618193938905E-6</v>
      </c>
      <c r="D120" s="85"/>
    </row>
    <row r="121" spans="1:4" s="56" customFormat="1" ht="14.25" customHeight="1" x14ac:dyDescent="0.2">
      <c r="A121" s="75" t="s">
        <v>42</v>
      </c>
      <c r="B121" s="56">
        <v>0.2</v>
      </c>
      <c r="C121" s="16">
        <f t="shared" si="4"/>
        <v>6.8224955049915969E-8</v>
      </c>
      <c r="D121" s="85"/>
    </row>
    <row r="122" spans="1:4" s="56" customFormat="1" ht="14.25" customHeight="1" x14ac:dyDescent="0.2">
      <c r="A122" s="75" t="s">
        <v>216</v>
      </c>
      <c r="B122" s="56">
        <v>0</v>
      </c>
      <c r="C122" s="16">
        <f t="shared" si="4"/>
        <v>0</v>
      </c>
      <c r="D122" s="85"/>
    </row>
    <row r="123" spans="1:4" s="56" customFormat="1" ht="14.25" customHeight="1" x14ac:dyDescent="0.2">
      <c r="A123" s="75" t="s">
        <v>217</v>
      </c>
      <c r="B123" s="56">
        <v>0</v>
      </c>
      <c r="C123" s="16">
        <f t="shared" si="4"/>
        <v>0</v>
      </c>
      <c r="D123" s="85"/>
    </row>
    <row r="124" spans="1:4" s="56" customFormat="1" ht="14.25" customHeight="1" x14ac:dyDescent="0.2">
      <c r="A124" s="75" t="s">
        <v>111</v>
      </c>
      <c r="B124" s="56">
        <v>3.55</v>
      </c>
      <c r="C124" s="16">
        <f t="shared" si="4"/>
        <v>1.2109929521360083E-6</v>
      </c>
      <c r="D124" s="85"/>
    </row>
    <row r="125" spans="1:4" s="56" customFormat="1" ht="14.25" customHeight="1" x14ac:dyDescent="0.2">
      <c r="A125" s="75" t="s">
        <v>187</v>
      </c>
      <c r="B125" s="56">
        <v>2.94</v>
      </c>
      <c r="C125" s="16">
        <f t="shared" ref="C125:C130" si="5">B125/$B$140</f>
        <v>1.0029068392337647E-6</v>
      </c>
      <c r="D125" s="85"/>
    </row>
    <row r="126" spans="1:4" s="56" customFormat="1" ht="14.25" customHeight="1" x14ac:dyDescent="0.2">
      <c r="A126" s="75" t="s">
        <v>218</v>
      </c>
      <c r="B126" s="56">
        <v>0</v>
      </c>
      <c r="C126" s="16">
        <f t="shared" si="5"/>
        <v>0</v>
      </c>
      <c r="D126" s="85"/>
    </row>
    <row r="127" spans="1:4" s="56" customFormat="1" ht="14.25" customHeight="1" x14ac:dyDescent="0.2">
      <c r="A127" s="75" t="s">
        <v>179</v>
      </c>
      <c r="B127" s="56">
        <v>0.19</v>
      </c>
      <c r="C127" s="16">
        <f t="shared" si="5"/>
        <v>6.4813707297420158E-8</v>
      </c>
      <c r="D127" s="85"/>
    </row>
    <row r="128" spans="1:4" s="56" customFormat="1" ht="14.25" customHeight="1" x14ac:dyDescent="0.2">
      <c r="A128" s="75" t="s">
        <v>43</v>
      </c>
      <c r="B128" s="56">
        <v>49.45</v>
      </c>
      <c r="C128" s="16">
        <f t="shared" si="5"/>
        <v>1.6868620136091721E-5</v>
      </c>
      <c r="D128" s="85"/>
    </row>
    <row r="129" spans="1:6" s="56" customFormat="1" ht="14.25" customHeight="1" x14ac:dyDescent="0.2">
      <c r="A129" s="75" t="s">
        <v>44</v>
      </c>
      <c r="B129" s="56">
        <v>0.49</v>
      </c>
      <c r="C129" s="16">
        <f t="shared" si="5"/>
        <v>1.671511398722941E-7</v>
      </c>
      <c r="D129" s="85"/>
    </row>
    <row r="130" spans="1:6" s="56" customFormat="1" ht="14.25" customHeight="1" x14ac:dyDescent="0.2">
      <c r="A130" s="75" t="s">
        <v>203</v>
      </c>
      <c r="B130" s="56">
        <v>31.84</v>
      </c>
      <c r="C130" s="16">
        <f t="shared" si="5"/>
        <v>1.086141284394662E-5</v>
      </c>
      <c r="D130" s="85"/>
    </row>
    <row r="131" spans="1:6" s="56" customFormat="1" ht="14.25" customHeight="1" x14ac:dyDescent="0.2">
      <c r="A131" s="75" t="s">
        <v>45</v>
      </c>
      <c r="B131" s="56">
        <v>16.170000000000002</v>
      </c>
      <c r="C131" s="16">
        <f>B131/$B$140</f>
        <v>5.5159876157857059E-6</v>
      </c>
      <c r="D131" s="85"/>
    </row>
    <row r="132" spans="1:6" s="56" customFormat="1" ht="14.25" customHeight="1" x14ac:dyDescent="0.2">
      <c r="A132" s="75" t="s">
        <v>46</v>
      </c>
      <c r="B132" s="56">
        <v>23.45</v>
      </c>
      <c r="C132" s="16">
        <f t="shared" ref="C132:C136" si="6">B132/$B$140</f>
        <v>7.9993759796026464E-6</v>
      </c>
      <c r="D132" s="85"/>
    </row>
    <row r="133" spans="1:6" s="56" customFormat="1" ht="14.25" customHeight="1" x14ac:dyDescent="0.2">
      <c r="A133" s="75" t="s">
        <v>105</v>
      </c>
      <c r="B133" s="56">
        <v>14.18</v>
      </c>
      <c r="C133" s="16">
        <f t="shared" si="6"/>
        <v>4.8371493130390417E-6</v>
      </c>
      <c r="D133" s="85"/>
    </row>
    <row r="134" spans="1:6" s="56" customFormat="1" ht="14.25" customHeight="1" x14ac:dyDescent="0.2">
      <c r="A134" s="75" t="s">
        <v>118</v>
      </c>
      <c r="B134" s="56">
        <v>4.07</v>
      </c>
      <c r="C134" s="16">
        <f t="shared" si="6"/>
        <v>1.3883778352657899E-6</v>
      </c>
      <c r="D134" s="85"/>
    </row>
    <row r="135" spans="1:6" s="56" customFormat="1" ht="14.25" customHeight="1" x14ac:dyDescent="0.2">
      <c r="A135" s="75" t="s">
        <v>137</v>
      </c>
      <c r="B135" s="56">
        <v>0.49</v>
      </c>
      <c r="C135" s="16">
        <f t="shared" si="6"/>
        <v>1.671511398722941E-7</v>
      </c>
      <c r="D135" s="85"/>
    </row>
    <row r="136" spans="1:6" s="56" customFormat="1" ht="14.25" customHeight="1" x14ac:dyDescent="0.2">
      <c r="A136" s="75" t="s">
        <v>204</v>
      </c>
      <c r="B136" s="56">
        <v>6.33</v>
      </c>
      <c r="C136" s="16">
        <f t="shared" si="6"/>
        <v>2.15931982732984E-6</v>
      </c>
      <c r="D136" s="85"/>
    </row>
    <row r="137" spans="1:6" ht="15" customHeight="1" x14ac:dyDescent="0.25">
      <c r="A137" s="28" t="s">
        <v>47</v>
      </c>
      <c r="B137" s="29">
        <f>SUM(B65:B136)</f>
        <v>538.37</v>
      </c>
      <c r="C137" s="31">
        <f>SUM(C65:C136)</f>
        <v>1.8365134525111622E-4</v>
      </c>
      <c r="D137" s="85"/>
    </row>
    <row r="138" spans="1:6" ht="15" x14ac:dyDescent="0.25">
      <c r="A138" s="7" t="s">
        <v>48</v>
      </c>
      <c r="B138" s="33">
        <f>B63+B137</f>
        <v>2264.60914</v>
      </c>
      <c r="C138" s="34">
        <f>B138/$B$140</f>
        <v>7.725142839106442E-4</v>
      </c>
    </row>
    <row r="139" spans="1:6" ht="15" x14ac:dyDescent="0.25">
      <c r="A139" s="24" t="s">
        <v>106</v>
      </c>
      <c r="B139" s="33">
        <f>B7+B20+B25+B30+B49+B138</f>
        <v>3490.22937</v>
      </c>
      <c r="C139" s="17">
        <f>B139/$B$140</f>
        <v>1.1906037094107326E-3</v>
      </c>
      <c r="D139" s="56"/>
      <c r="E139" s="56"/>
      <c r="F139" s="56"/>
    </row>
    <row r="140" spans="1:6" ht="15" x14ac:dyDescent="0.25">
      <c r="A140" s="9" t="s">
        <v>50</v>
      </c>
      <c r="B140" s="76">
        <f>2931478662.81/1000</f>
        <v>2931478.6628100001</v>
      </c>
      <c r="C140" s="17">
        <f>B140/$B$140</f>
        <v>1</v>
      </c>
      <c r="D140" s="56"/>
      <c r="E140" s="56"/>
    </row>
  </sheetData>
  <mergeCells count="1">
    <mergeCell ref="A1:K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rightToLeft="1" zoomScale="80" zoomScaleNormal="80" workbookViewId="0">
      <selection activeCell="G40" sqref="G40"/>
    </sheetView>
  </sheetViews>
  <sheetFormatPr defaultRowHeight="14.25" x14ac:dyDescent="0.2"/>
  <cols>
    <col min="1" max="1" width="53.25" bestFit="1" customWidth="1"/>
    <col min="2" max="2" width="14.5" bestFit="1" customWidth="1"/>
    <col min="3" max="3" width="11.875" bestFit="1" customWidth="1"/>
    <col min="255" max="255" width="10.75" bestFit="1" customWidth="1"/>
    <col min="256" max="256" width="9" bestFit="1" customWidth="1"/>
    <col min="257" max="257" width="53.25" bestFit="1" customWidth="1"/>
    <col min="258" max="258" width="8.875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3.25" bestFit="1" customWidth="1"/>
    <col min="514" max="514" width="8.875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3.25" bestFit="1" customWidth="1"/>
    <col min="770" max="770" width="8.875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3.25" bestFit="1" customWidth="1"/>
    <col min="1026" max="1026" width="8.875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3.25" bestFit="1" customWidth="1"/>
    <col min="1282" max="1282" width="8.875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3.25" bestFit="1" customWidth="1"/>
    <col min="1538" max="1538" width="8.875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3.25" bestFit="1" customWidth="1"/>
    <col min="1794" max="1794" width="8.875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3.25" bestFit="1" customWidth="1"/>
    <col min="2050" max="2050" width="8.875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3.25" bestFit="1" customWidth="1"/>
    <col min="2306" max="2306" width="8.875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3.25" bestFit="1" customWidth="1"/>
    <col min="2562" max="2562" width="8.875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3.25" bestFit="1" customWidth="1"/>
    <col min="2818" max="2818" width="8.875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3.25" bestFit="1" customWidth="1"/>
    <col min="3074" max="3074" width="8.875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3.25" bestFit="1" customWidth="1"/>
    <col min="3330" max="3330" width="8.875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3.25" bestFit="1" customWidth="1"/>
    <col min="3586" max="3586" width="8.875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3.25" bestFit="1" customWidth="1"/>
    <col min="3842" max="3842" width="8.875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3.25" bestFit="1" customWidth="1"/>
    <col min="4098" max="4098" width="8.875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3.25" bestFit="1" customWidth="1"/>
    <col min="4354" max="4354" width="8.875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3.25" bestFit="1" customWidth="1"/>
    <col min="4610" max="4610" width="8.875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3.25" bestFit="1" customWidth="1"/>
    <col min="4866" max="4866" width="8.875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3.25" bestFit="1" customWidth="1"/>
    <col min="5122" max="5122" width="8.875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3.25" bestFit="1" customWidth="1"/>
    <col min="5378" max="5378" width="8.875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3.25" bestFit="1" customWidth="1"/>
    <col min="5634" max="5634" width="8.875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3.25" bestFit="1" customWidth="1"/>
    <col min="5890" max="5890" width="8.875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3.25" bestFit="1" customWidth="1"/>
    <col min="6146" max="6146" width="8.875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3.25" bestFit="1" customWidth="1"/>
    <col min="6402" max="6402" width="8.875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3.25" bestFit="1" customWidth="1"/>
    <col min="6658" max="6658" width="8.875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3.25" bestFit="1" customWidth="1"/>
    <col min="6914" max="6914" width="8.875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3.25" bestFit="1" customWidth="1"/>
    <col min="7170" max="7170" width="8.875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3.25" bestFit="1" customWidth="1"/>
    <col min="7426" max="7426" width="8.875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3.25" bestFit="1" customWidth="1"/>
    <col min="7682" max="7682" width="8.875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3.25" bestFit="1" customWidth="1"/>
    <col min="7938" max="7938" width="8.875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3.25" bestFit="1" customWidth="1"/>
    <col min="8194" max="8194" width="8.875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3.25" bestFit="1" customWidth="1"/>
    <col min="8450" max="8450" width="8.875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3.25" bestFit="1" customWidth="1"/>
    <col min="8706" max="8706" width="8.875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3.25" bestFit="1" customWidth="1"/>
    <col min="8962" max="8962" width="8.875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3.25" bestFit="1" customWidth="1"/>
    <col min="9218" max="9218" width="8.875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3.25" bestFit="1" customWidth="1"/>
    <col min="9474" max="9474" width="8.875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3.25" bestFit="1" customWidth="1"/>
    <col min="9730" max="9730" width="8.875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3.25" bestFit="1" customWidth="1"/>
    <col min="9986" max="9986" width="8.875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3.25" bestFit="1" customWidth="1"/>
    <col min="10242" max="10242" width="8.875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3.25" bestFit="1" customWidth="1"/>
    <col min="10498" max="10498" width="8.875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3.25" bestFit="1" customWidth="1"/>
    <col min="10754" max="10754" width="8.875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3.25" bestFit="1" customWidth="1"/>
    <col min="11010" max="11010" width="8.875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3.25" bestFit="1" customWidth="1"/>
    <col min="11266" max="11266" width="8.875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3.25" bestFit="1" customWidth="1"/>
    <col min="11522" max="11522" width="8.875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3.25" bestFit="1" customWidth="1"/>
    <col min="11778" max="11778" width="8.875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3.25" bestFit="1" customWidth="1"/>
    <col min="12034" max="12034" width="8.875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3.25" bestFit="1" customWidth="1"/>
    <col min="12290" max="12290" width="8.875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3.25" bestFit="1" customWidth="1"/>
    <col min="12546" max="12546" width="8.875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3.25" bestFit="1" customWidth="1"/>
    <col min="12802" max="12802" width="8.875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3.25" bestFit="1" customWidth="1"/>
    <col min="13058" max="13058" width="8.875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3.25" bestFit="1" customWidth="1"/>
    <col min="13314" max="13314" width="8.875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3.25" bestFit="1" customWidth="1"/>
    <col min="13570" max="13570" width="8.875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3.25" bestFit="1" customWidth="1"/>
    <col min="13826" max="13826" width="8.875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3.25" bestFit="1" customWidth="1"/>
    <col min="14082" max="14082" width="8.875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3.25" bestFit="1" customWidth="1"/>
    <col min="14338" max="14338" width="8.875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3.25" bestFit="1" customWidth="1"/>
    <col min="14594" max="14594" width="8.875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3.25" bestFit="1" customWidth="1"/>
    <col min="14850" max="14850" width="8.875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3.25" bestFit="1" customWidth="1"/>
    <col min="15106" max="15106" width="8.875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3.25" bestFit="1" customWidth="1"/>
    <col min="15362" max="15362" width="8.875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3.25" bestFit="1" customWidth="1"/>
    <col min="15618" max="15618" width="8.875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3.25" bestFit="1" customWidth="1"/>
    <col min="15874" max="15874" width="8.875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3.25" bestFit="1" customWidth="1"/>
    <col min="16130" max="16130" width="8.875" bestFit="1" customWidth="1"/>
    <col min="16131" max="16131" width="11.875" bestFit="1" customWidth="1"/>
  </cols>
  <sheetData>
    <row r="1" spans="1:11" ht="15" x14ac:dyDescent="0.25">
      <c r="A1" s="91" t="s">
        <v>242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s="50" customForma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11" x14ac:dyDescent="0.2">
      <c r="A3" t="s">
        <v>0</v>
      </c>
      <c r="B3" t="s">
        <v>1</v>
      </c>
      <c r="C3" t="s">
        <v>2</v>
      </c>
    </row>
    <row r="4" spans="1:11" ht="15" x14ac:dyDescent="0.25">
      <c r="A4" s="9" t="s">
        <v>3</v>
      </c>
    </row>
    <row r="5" spans="1:11" x14ac:dyDescent="0.2">
      <c r="A5" s="10" t="s">
        <v>4</v>
      </c>
      <c r="B5" s="14">
        <v>0</v>
      </c>
      <c r="C5" s="16">
        <f>B5/$B$39</f>
        <v>0</v>
      </c>
    </row>
    <row r="6" spans="1:11" ht="15" x14ac:dyDescent="0.25">
      <c r="A6" s="28" t="s">
        <v>5</v>
      </c>
      <c r="B6" s="29">
        <v>0</v>
      </c>
      <c r="C6" s="31">
        <f>B6/$B$39</f>
        <v>0</v>
      </c>
    </row>
    <row r="7" spans="1:11" ht="15" x14ac:dyDescent="0.25">
      <c r="A7" s="9" t="s">
        <v>6</v>
      </c>
      <c r="B7" s="14"/>
      <c r="C7" s="16"/>
    </row>
    <row r="8" spans="1:11" x14ac:dyDescent="0.2">
      <c r="A8" s="10" t="s">
        <v>7</v>
      </c>
      <c r="B8" s="14">
        <v>0</v>
      </c>
      <c r="C8" s="16">
        <f>B8/$B$39</f>
        <v>0</v>
      </c>
    </row>
    <row r="9" spans="1:11" ht="15" x14ac:dyDescent="0.25">
      <c r="A9" s="28" t="s">
        <v>8</v>
      </c>
      <c r="B9" s="29">
        <v>0</v>
      </c>
      <c r="C9" s="31">
        <f>B9/$B$39</f>
        <v>0</v>
      </c>
    </row>
    <row r="10" spans="1:11" ht="15" x14ac:dyDescent="0.25">
      <c r="A10" s="9" t="s">
        <v>9</v>
      </c>
      <c r="B10" s="14"/>
      <c r="C10" s="16"/>
    </row>
    <row r="11" spans="1:11" x14ac:dyDescent="0.2">
      <c r="A11" s="10" t="s">
        <v>10</v>
      </c>
      <c r="B11" s="14">
        <v>0</v>
      </c>
      <c r="C11" s="16">
        <f>B11/$B$39</f>
        <v>0</v>
      </c>
    </row>
    <row r="12" spans="1:11" x14ac:dyDescent="0.2">
      <c r="A12" s="10" t="s">
        <v>11</v>
      </c>
      <c r="B12" s="14">
        <v>0</v>
      </c>
      <c r="C12" s="16">
        <f>B12/$B$39</f>
        <v>0</v>
      </c>
    </row>
    <row r="13" spans="1:11" x14ac:dyDescent="0.2">
      <c r="A13" s="10" t="s">
        <v>12</v>
      </c>
      <c r="B13" s="14">
        <v>0</v>
      </c>
      <c r="C13" s="16">
        <f>B13/$B$39</f>
        <v>0</v>
      </c>
    </row>
    <row r="14" spans="1:11" ht="15" x14ac:dyDescent="0.25">
      <c r="A14" s="28" t="s">
        <v>13</v>
      </c>
      <c r="B14" s="29">
        <v>0</v>
      </c>
      <c r="C14" s="31">
        <f>B14/$B$39</f>
        <v>0</v>
      </c>
    </row>
    <row r="15" spans="1:11" ht="15" x14ac:dyDescent="0.25">
      <c r="A15" s="9" t="s">
        <v>14</v>
      </c>
      <c r="B15" s="14"/>
      <c r="C15" s="16"/>
    </row>
    <row r="16" spans="1:11" x14ac:dyDescent="0.2">
      <c r="A16" s="10" t="s">
        <v>10</v>
      </c>
      <c r="B16" s="14">
        <v>0</v>
      </c>
      <c r="C16" s="16">
        <f>B16/$B$39</f>
        <v>0</v>
      </c>
    </row>
    <row r="17" spans="1:3" x14ac:dyDescent="0.2">
      <c r="A17" s="10" t="s">
        <v>11</v>
      </c>
      <c r="B17" s="14">
        <v>0</v>
      </c>
      <c r="C17" s="16">
        <f>B17/$B$39</f>
        <v>0</v>
      </c>
    </row>
    <row r="18" spans="1:3" x14ac:dyDescent="0.2">
      <c r="A18" s="10" t="s">
        <v>12</v>
      </c>
      <c r="B18" s="14">
        <v>0</v>
      </c>
      <c r="C18" s="16">
        <f>B18/$B$39</f>
        <v>0</v>
      </c>
    </row>
    <row r="19" spans="1:3" ht="15" x14ac:dyDescent="0.25">
      <c r="A19" s="28" t="s">
        <v>15</v>
      </c>
      <c r="B19" s="29">
        <v>0</v>
      </c>
      <c r="C19" s="31">
        <f>B19/$B$39</f>
        <v>0</v>
      </c>
    </row>
    <row r="20" spans="1:3" ht="15" x14ac:dyDescent="0.25">
      <c r="A20" s="9" t="s">
        <v>16</v>
      </c>
      <c r="B20" s="14"/>
      <c r="C20" s="16"/>
    </row>
    <row r="21" spans="1:3" ht="15" x14ac:dyDescent="0.25">
      <c r="A21" s="9" t="s">
        <v>17</v>
      </c>
      <c r="B21" s="14"/>
      <c r="C21" s="16"/>
    </row>
    <row r="22" spans="1:3" x14ac:dyDescent="0.2">
      <c r="A22" s="10" t="s">
        <v>18</v>
      </c>
      <c r="B22" s="14">
        <v>0</v>
      </c>
      <c r="C22" s="16">
        <f>B22/$B$39</f>
        <v>0</v>
      </c>
    </row>
    <row r="23" spans="1:3" ht="15" x14ac:dyDescent="0.25">
      <c r="A23" s="28" t="s">
        <v>19</v>
      </c>
      <c r="B23" s="29">
        <v>0</v>
      </c>
      <c r="C23" s="31">
        <f>B23/$B$39</f>
        <v>0</v>
      </c>
    </row>
    <row r="24" spans="1:3" ht="15" x14ac:dyDescent="0.25">
      <c r="A24" s="9" t="s">
        <v>20</v>
      </c>
      <c r="B24" s="14"/>
      <c r="C24" s="16"/>
    </row>
    <row r="25" spans="1:3" x14ac:dyDescent="0.2">
      <c r="A25" s="10" t="s">
        <v>101</v>
      </c>
      <c r="B25" s="14">
        <v>0</v>
      </c>
      <c r="C25" s="16">
        <f>B25/$B$39</f>
        <v>0</v>
      </c>
    </row>
    <row r="26" spans="1:3" ht="15" x14ac:dyDescent="0.25">
      <c r="A26" s="28" t="s">
        <v>21</v>
      </c>
      <c r="B26" s="29">
        <v>0</v>
      </c>
      <c r="C26" s="31">
        <f>B26/$B$39</f>
        <v>0</v>
      </c>
    </row>
    <row r="27" spans="1:3" ht="15" x14ac:dyDescent="0.25">
      <c r="A27" s="9" t="s">
        <v>22</v>
      </c>
      <c r="B27" s="15">
        <v>0</v>
      </c>
      <c r="C27" s="17">
        <f>B27/$B$39</f>
        <v>0</v>
      </c>
    </row>
    <row r="28" spans="1:3" ht="15" x14ac:dyDescent="0.25">
      <c r="A28" s="9" t="s">
        <v>23</v>
      </c>
      <c r="B28" s="14"/>
      <c r="C28" s="16"/>
    </row>
    <row r="29" spans="1:3" ht="15" x14ac:dyDescent="0.25">
      <c r="A29" s="9" t="s">
        <v>24</v>
      </c>
      <c r="B29" s="14"/>
      <c r="C29" s="16"/>
    </row>
    <row r="30" spans="1:3" x14ac:dyDescent="0.2">
      <c r="A30" s="10" t="s">
        <v>103</v>
      </c>
      <c r="B30" s="14">
        <v>0</v>
      </c>
      <c r="C30" s="16">
        <f>B30/$B$39</f>
        <v>0</v>
      </c>
    </row>
    <row r="31" spans="1:3" x14ac:dyDescent="0.2">
      <c r="A31" s="10" t="s">
        <v>25</v>
      </c>
      <c r="B31" s="14">
        <v>0</v>
      </c>
      <c r="C31" s="16">
        <f>B31/$B$39</f>
        <v>0</v>
      </c>
    </row>
    <row r="32" spans="1:3" x14ac:dyDescent="0.2">
      <c r="A32" s="10" t="s">
        <v>26</v>
      </c>
      <c r="B32" s="14">
        <v>0</v>
      </c>
      <c r="C32" s="16">
        <f>B32/$B$39</f>
        <v>0</v>
      </c>
    </row>
    <row r="33" spans="1:3" ht="15" x14ac:dyDescent="0.25">
      <c r="A33" s="28" t="s">
        <v>27</v>
      </c>
      <c r="B33" s="29">
        <f>SUM(B30:B32)</f>
        <v>0</v>
      </c>
      <c r="C33" s="31">
        <f>B33/$B$39</f>
        <v>0</v>
      </c>
    </row>
    <row r="34" spans="1:3" ht="15" x14ac:dyDescent="0.25">
      <c r="A34" s="9" t="s">
        <v>28</v>
      </c>
      <c r="B34" s="14"/>
      <c r="C34" s="16"/>
    </row>
    <row r="35" spans="1:3" x14ac:dyDescent="0.2">
      <c r="A35" s="10" t="s">
        <v>102</v>
      </c>
      <c r="B35" s="14">
        <v>0</v>
      </c>
      <c r="C35" s="16">
        <f>B35/$B$39</f>
        <v>0</v>
      </c>
    </row>
    <row r="36" spans="1:3" ht="15" x14ac:dyDescent="0.25">
      <c r="A36" s="28" t="s">
        <v>47</v>
      </c>
      <c r="B36" s="29">
        <v>0</v>
      </c>
      <c r="C36" s="31">
        <f>B36/$B$39</f>
        <v>0</v>
      </c>
    </row>
    <row r="37" spans="1:3" ht="15" x14ac:dyDescent="0.25">
      <c r="A37" s="9" t="s">
        <v>48</v>
      </c>
      <c r="B37" s="15">
        <v>0</v>
      </c>
      <c r="C37" s="17">
        <f>B37/$B$39</f>
        <v>0</v>
      </c>
    </row>
    <row r="38" spans="1:3" ht="15" x14ac:dyDescent="0.25">
      <c r="A38" s="9" t="s">
        <v>49</v>
      </c>
      <c r="B38" s="15">
        <v>0</v>
      </c>
      <c r="C38" s="17">
        <f>B38/$B$39</f>
        <v>0</v>
      </c>
    </row>
    <row r="39" spans="1:3" ht="15" x14ac:dyDescent="0.25">
      <c r="A39" s="9" t="s">
        <v>50</v>
      </c>
      <c r="B39" s="33">
        <f>71970260/1000</f>
        <v>71970.259999999995</v>
      </c>
      <c r="C39" s="17">
        <f>B39/$B$39</f>
        <v>1</v>
      </c>
    </row>
  </sheetData>
  <mergeCells count="1">
    <mergeCell ref="A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FD82"/>
  <sheetViews>
    <sheetView rightToLeft="1" zoomScale="80" zoomScaleNormal="80" workbookViewId="0">
      <selection activeCell="B37" sqref="B37"/>
    </sheetView>
  </sheetViews>
  <sheetFormatPr defaultRowHeight="14.25" x14ac:dyDescent="0.2"/>
  <cols>
    <col min="1" max="1" width="53.25" bestFit="1" customWidth="1"/>
    <col min="2" max="2" width="10.625" bestFit="1" customWidth="1"/>
    <col min="3" max="3" width="11.875" bestFit="1" customWidth="1"/>
    <col min="255" max="255" width="10.75" bestFit="1" customWidth="1"/>
    <col min="256" max="256" width="9" bestFit="1" customWidth="1"/>
    <col min="257" max="257" width="53.25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3.25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3.25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3.25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3.25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3.25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3.25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3.25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3.25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3.25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3.25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3.25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3.25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3.25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3.25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3.25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3.25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3.25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3.25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3.25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3.25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3.25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3.25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3.25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3.25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3.25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3.25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3.25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3.25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3.25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3.25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3.25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3.25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3.25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3.25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3.25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3.25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3.25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3.25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3.25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3.25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3.25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3.25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3.25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3.25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3.25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3.25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3.25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3.25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3.25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3.25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3.25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3.25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3.25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3.25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3.25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3.25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3.25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3.25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3.25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3.25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3.25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3.25" bestFit="1" customWidth="1"/>
    <col min="16131" max="16131" width="11.875" bestFit="1" customWidth="1"/>
  </cols>
  <sheetData>
    <row r="1" spans="1:11" ht="15" x14ac:dyDescent="0.25">
      <c r="A1" s="91" t="s">
        <v>243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s="50" customForma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11" x14ac:dyDescent="0.2">
      <c r="A3" t="s">
        <v>0</v>
      </c>
      <c r="B3" t="s">
        <v>1</v>
      </c>
      <c r="C3" t="s">
        <v>2</v>
      </c>
      <c r="H3" s="79" t="s">
        <v>253</v>
      </c>
    </row>
    <row r="4" spans="1:11" ht="15" x14ac:dyDescent="0.25">
      <c r="A4" s="7" t="s">
        <v>3</v>
      </c>
      <c r="B4" s="71"/>
      <c r="C4" s="71"/>
    </row>
    <row r="5" spans="1:11" x14ac:dyDescent="0.2">
      <c r="A5" s="67" t="s">
        <v>196</v>
      </c>
      <c r="B5" s="78">
        <v>16.61</v>
      </c>
      <c r="C5" s="69">
        <f>B5/$B$82</f>
        <v>5.8199907132149627E-4</v>
      </c>
    </row>
    <row r="6" spans="1:11" ht="15" x14ac:dyDescent="0.25">
      <c r="A6" s="28" t="s">
        <v>5</v>
      </c>
      <c r="B6" s="40">
        <f>SUM(B5)</f>
        <v>16.61</v>
      </c>
      <c r="C6" s="31">
        <f>SUM(C5)</f>
        <v>5.8199907132149627E-4</v>
      </c>
    </row>
    <row r="7" spans="1:11" ht="15" x14ac:dyDescent="0.25">
      <c r="A7" s="9" t="s">
        <v>6</v>
      </c>
      <c r="B7" s="14"/>
      <c r="C7" s="16"/>
    </row>
    <row r="8" spans="1:11" x14ac:dyDescent="0.2">
      <c r="A8" s="10" t="s">
        <v>7</v>
      </c>
      <c r="B8" s="14">
        <v>0</v>
      </c>
      <c r="C8" s="16">
        <f>B8/$B$82</f>
        <v>0</v>
      </c>
    </row>
    <row r="9" spans="1:11" ht="15" x14ac:dyDescent="0.25">
      <c r="A9" s="28" t="s">
        <v>8</v>
      </c>
      <c r="B9" s="40">
        <f>SUM(B8)</f>
        <v>0</v>
      </c>
      <c r="C9" s="31">
        <f>B9/$B$82</f>
        <v>0</v>
      </c>
    </row>
    <row r="10" spans="1:11" ht="15" x14ac:dyDescent="0.25">
      <c r="A10" s="9" t="s">
        <v>9</v>
      </c>
      <c r="B10" s="14"/>
      <c r="C10" s="16"/>
    </row>
    <row r="11" spans="1:11" x14ac:dyDescent="0.2">
      <c r="A11" s="10" t="s">
        <v>10</v>
      </c>
      <c r="B11" s="14">
        <v>0</v>
      </c>
      <c r="C11" s="16">
        <f>B11/$B$82</f>
        <v>0</v>
      </c>
    </row>
    <row r="12" spans="1:11" x14ac:dyDescent="0.2">
      <c r="A12" s="10" t="s">
        <v>11</v>
      </c>
      <c r="B12" s="14">
        <v>0</v>
      </c>
      <c r="C12" s="16">
        <f>B12/$B$82</f>
        <v>0</v>
      </c>
    </row>
    <row r="13" spans="1:11" x14ac:dyDescent="0.2">
      <c r="A13" s="10" t="s">
        <v>12</v>
      </c>
      <c r="B13" s="14">
        <v>0</v>
      </c>
      <c r="C13" s="16">
        <f>B13/$B$82</f>
        <v>0</v>
      </c>
    </row>
    <row r="14" spans="1:11" ht="15" x14ac:dyDescent="0.25">
      <c r="A14" s="28" t="s">
        <v>13</v>
      </c>
      <c r="B14" s="40">
        <f>SUM(B11:B13)</f>
        <v>0</v>
      </c>
      <c r="C14" s="31">
        <f>B14/$B$82</f>
        <v>0</v>
      </c>
    </row>
    <row r="15" spans="1:11" ht="15" x14ac:dyDescent="0.25">
      <c r="A15" s="9" t="s">
        <v>14</v>
      </c>
      <c r="B15" s="14"/>
      <c r="C15" s="16"/>
    </row>
    <row r="16" spans="1:11" x14ac:dyDescent="0.2">
      <c r="A16" s="10" t="s">
        <v>10</v>
      </c>
      <c r="B16" s="14">
        <v>0</v>
      </c>
      <c r="C16" s="16">
        <f>B16/$B$82</f>
        <v>0</v>
      </c>
    </row>
    <row r="17" spans="1:8" x14ac:dyDescent="0.2">
      <c r="A17" s="10" t="s">
        <v>11</v>
      </c>
      <c r="B17" s="14">
        <v>0</v>
      </c>
      <c r="C17" s="16">
        <f>B17/$B$82</f>
        <v>0</v>
      </c>
    </row>
    <row r="18" spans="1:8" x14ac:dyDescent="0.2">
      <c r="A18" s="10" t="s">
        <v>12</v>
      </c>
      <c r="B18" s="14">
        <v>0</v>
      </c>
      <c r="C18" s="16">
        <f>B18/$B$82</f>
        <v>0</v>
      </c>
    </row>
    <row r="19" spans="1:8" ht="15" x14ac:dyDescent="0.25">
      <c r="A19" s="28" t="s">
        <v>15</v>
      </c>
      <c r="B19" s="40">
        <f>SUM(B16:B18)</f>
        <v>0</v>
      </c>
      <c r="C19" s="31">
        <f>B19/$B$82</f>
        <v>0</v>
      </c>
    </row>
    <row r="20" spans="1:8" ht="15" x14ac:dyDescent="0.25">
      <c r="A20" s="9" t="s">
        <v>16</v>
      </c>
      <c r="B20" s="14"/>
      <c r="C20" s="16"/>
    </row>
    <row r="21" spans="1:8" ht="15" x14ac:dyDescent="0.25">
      <c r="A21" s="9" t="s">
        <v>17</v>
      </c>
      <c r="B21" s="14"/>
      <c r="C21" s="16"/>
    </row>
    <row r="22" spans="1:8" x14ac:dyDescent="0.2">
      <c r="A22" s="73" t="s">
        <v>228</v>
      </c>
      <c r="B22" s="56">
        <v>0.1</v>
      </c>
      <c r="C22" s="16">
        <f>B22/$B$82</f>
        <v>3.5039077141571122E-6</v>
      </c>
    </row>
    <row r="23" spans="1:8" ht="15" x14ac:dyDescent="0.25">
      <c r="A23" s="28" t="s">
        <v>19</v>
      </c>
      <c r="B23" s="40">
        <f>SUM(B22)</f>
        <v>0.1</v>
      </c>
      <c r="C23" s="31">
        <f>B23/$B$82</f>
        <v>3.5039077141571122E-6</v>
      </c>
      <c r="D23" s="84"/>
    </row>
    <row r="24" spans="1:8" ht="15" x14ac:dyDescent="0.25">
      <c r="A24" s="9" t="s">
        <v>20</v>
      </c>
      <c r="B24" s="14"/>
      <c r="C24" s="16"/>
    </row>
    <row r="25" spans="1:8" x14ac:dyDescent="0.2">
      <c r="A25" s="73" t="s">
        <v>122</v>
      </c>
      <c r="B25" s="56">
        <v>1.34</v>
      </c>
      <c r="C25" s="16">
        <f>B25/$B$82</f>
        <v>4.6952363369705304E-5</v>
      </c>
    </row>
    <row r="26" spans="1:8" ht="15" x14ac:dyDescent="0.25">
      <c r="A26" s="28" t="s">
        <v>21</v>
      </c>
      <c r="B26" s="40">
        <f>SUM(B25)</f>
        <v>1.34</v>
      </c>
      <c r="C26" s="31">
        <f>B26/$B$82</f>
        <v>4.6952363369705304E-5</v>
      </c>
    </row>
    <row r="27" spans="1:8" ht="15" x14ac:dyDescent="0.25">
      <c r="A27" s="36" t="s">
        <v>22</v>
      </c>
      <c r="B27" s="37">
        <f>SUM(B23,B26)</f>
        <v>1.4400000000000002</v>
      </c>
      <c r="C27" s="38">
        <f>B27/$B$82</f>
        <v>5.0456271083862415E-5</v>
      </c>
      <c r="D27" s="56"/>
      <c r="E27" s="56"/>
      <c r="F27" s="56"/>
      <c r="G27" s="56"/>
      <c r="H27" s="56"/>
    </row>
    <row r="28" spans="1:8" ht="15" x14ac:dyDescent="0.25">
      <c r="A28" s="9" t="s">
        <v>23</v>
      </c>
      <c r="B28" s="14"/>
      <c r="C28" s="16"/>
    </row>
    <row r="29" spans="1:8" ht="15" x14ac:dyDescent="0.25">
      <c r="A29" s="9" t="s">
        <v>24</v>
      </c>
      <c r="B29" s="14"/>
      <c r="C29" s="16"/>
      <c r="G29" s="84"/>
    </row>
    <row r="30" spans="1:8" x14ac:dyDescent="0.2">
      <c r="A30" s="73" t="s">
        <v>162</v>
      </c>
      <c r="B30" s="56">
        <v>0.35</v>
      </c>
      <c r="C30" s="16">
        <f t="shared" ref="C30:C36" si="0">B30/$B$82</f>
        <v>1.2263676999549891E-5</v>
      </c>
    </row>
    <row r="31" spans="1:8" s="56" customFormat="1" x14ac:dyDescent="0.2">
      <c r="A31" s="75" t="s">
        <v>247</v>
      </c>
      <c r="B31" s="56">
        <v>0.34</v>
      </c>
      <c r="C31" s="16">
        <f t="shared" si="0"/>
        <v>1.1913286228134181E-5</v>
      </c>
    </row>
    <row r="32" spans="1:8" x14ac:dyDescent="0.2">
      <c r="A32" s="73" t="s">
        <v>163</v>
      </c>
      <c r="B32" s="56">
        <v>0</v>
      </c>
      <c r="C32" s="16">
        <f t="shared" si="0"/>
        <v>0</v>
      </c>
    </row>
    <row r="33" spans="1:3 16384:16384" s="56" customFormat="1" x14ac:dyDescent="0.2">
      <c r="A33" s="73" t="s">
        <v>164</v>
      </c>
      <c r="B33" s="56">
        <v>0</v>
      </c>
      <c r="C33" s="16">
        <f t="shared" si="0"/>
        <v>0</v>
      </c>
    </row>
    <row r="34" spans="1:3 16384:16384" s="56" customFormat="1" x14ac:dyDescent="0.2">
      <c r="A34" s="73" t="s">
        <v>168</v>
      </c>
      <c r="B34" s="56">
        <v>0</v>
      </c>
      <c r="C34" s="16">
        <f t="shared" si="0"/>
        <v>0</v>
      </c>
    </row>
    <row r="35" spans="1:3 16384:16384" s="56" customFormat="1" x14ac:dyDescent="0.2">
      <c r="A35" s="73" t="s">
        <v>165</v>
      </c>
      <c r="B35" s="56">
        <v>0</v>
      </c>
      <c r="C35" s="16">
        <f t="shared" si="0"/>
        <v>0</v>
      </c>
    </row>
    <row r="36" spans="1:3 16384:16384" s="56" customFormat="1" x14ac:dyDescent="0.2">
      <c r="A36" s="73" t="s">
        <v>26</v>
      </c>
      <c r="B36" s="56">
        <v>0.65</v>
      </c>
      <c r="C36" s="16">
        <f t="shared" si="0"/>
        <v>2.2775400142021227E-5</v>
      </c>
    </row>
    <row r="37" spans="1:3 16384:16384" ht="15" x14ac:dyDescent="0.25">
      <c r="A37" s="28" t="s">
        <v>27</v>
      </c>
      <c r="B37" s="40">
        <f>SUM(B30:B36)</f>
        <v>1.3399999999999999</v>
      </c>
      <c r="C37" s="31">
        <f>SUM(C30:C36)</f>
        <v>4.6952363369705297E-5</v>
      </c>
      <c r="XFD37" s="54">
        <f>SUM(C37)</f>
        <v>4.6952363369705297E-5</v>
      </c>
    </row>
    <row r="38" spans="1:3 16384:16384" ht="15" x14ac:dyDescent="0.25">
      <c r="A38" s="9" t="s">
        <v>28</v>
      </c>
      <c r="B38" s="14"/>
      <c r="C38" s="16"/>
    </row>
    <row r="39" spans="1:3 16384:16384" x14ac:dyDescent="0.2">
      <c r="A39" s="73" t="s">
        <v>192</v>
      </c>
      <c r="B39" s="56">
        <v>0.41</v>
      </c>
      <c r="C39" s="39">
        <f>B39/$B$82</f>
        <v>1.4366021628044158E-5</v>
      </c>
    </row>
    <row r="40" spans="1:3 16384:16384" x14ac:dyDescent="0.2">
      <c r="A40" s="73" t="s">
        <v>29</v>
      </c>
      <c r="B40" s="56">
        <v>0.03</v>
      </c>
      <c r="C40" s="39">
        <f>B40/$B$82</f>
        <v>1.0511723142471334E-6</v>
      </c>
    </row>
    <row r="41" spans="1:3 16384:16384" x14ac:dyDescent="0.2">
      <c r="A41" s="73" t="s">
        <v>30</v>
      </c>
      <c r="B41" s="56">
        <v>0.08</v>
      </c>
      <c r="C41" s="39">
        <f>B41/$B$82</f>
        <v>2.8031261713256893E-6</v>
      </c>
    </row>
    <row r="42" spans="1:3 16384:16384" x14ac:dyDescent="0.2">
      <c r="A42" s="73" t="s">
        <v>33</v>
      </c>
      <c r="B42" s="56">
        <v>0.13</v>
      </c>
      <c r="C42" s="39">
        <f>B42/$B$82</f>
        <v>4.5550800284042454E-6</v>
      </c>
    </row>
    <row r="43" spans="1:3 16384:16384" x14ac:dyDescent="0.2">
      <c r="A43" s="73" t="s">
        <v>34</v>
      </c>
      <c r="B43" s="56">
        <v>0.12</v>
      </c>
      <c r="C43" s="39">
        <f>B43/$B$82</f>
        <v>4.2046892569885338E-6</v>
      </c>
    </row>
    <row r="44" spans="1:3 16384:16384" x14ac:dyDescent="0.2">
      <c r="A44" s="73" t="s">
        <v>36</v>
      </c>
      <c r="B44" s="56">
        <v>0.73</v>
      </c>
      <c r="C44" s="39">
        <f>B44/$B$82</f>
        <v>2.5578526313346917E-5</v>
      </c>
    </row>
    <row r="45" spans="1:3 16384:16384" x14ac:dyDescent="0.2">
      <c r="A45" s="73" t="s">
        <v>113</v>
      </c>
      <c r="B45" s="56">
        <v>0.63</v>
      </c>
      <c r="C45" s="39">
        <f>B45/$B$82</f>
        <v>2.2074618599189805E-5</v>
      </c>
    </row>
    <row r="46" spans="1:3 16384:16384" x14ac:dyDescent="0.2">
      <c r="A46" s="73" t="s">
        <v>37</v>
      </c>
      <c r="B46" s="56">
        <v>0.33</v>
      </c>
      <c r="C46" s="39">
        <f>B46/$B$82</f>
        <v>1.156289545671847E-5</v>
      </c>
    </row>
    <row r="47" spans="1:3 16384:16384" x14ac:dyDescent="0.2">
      <c r="A47" s="73" t="s">
        <v>223</v>
      </c>
      <c r="B47" s="56">
        <v>0.12</v>
      </c>
      <c r="C47" s="39">
        <f>B47/$B$82</f>
        <v>4.2046892569885338E-6</v>
      </c>
    </row>
    <row r="48" spans="1:3 16384:16384" x14ac:dyDescent="0.2">
      <c r="A48" s="73" t="s">
        <v>123</v>
      </c>
      <c r="B48" s="56">
        <v>0.13</v>
      </c>
      <c r="C48" s="39">
        <f>B48/$B$82</f>
        <v>4.5550800284042454E-6</v>
      </c>
    </row>
    <row r="49" spans="1:3" x14ac:dyDescent="0.2">
      <c r="A49" s="73" t="s">
        <v>39</v>
      </c>
      <c r="B49" s="56">
        <v>0.02</v>
      </c>
      <c r="C49" s="39">
        <f>B49/$B$82</f>
        <v>7.0078154283142233E-7</v>
      </c>
    </row>
    <row r="50" spans="1:3" x14ac:dyDescent="0.2">
      <c r="A50" s="73" t="s">
        <v>120</v>
      </c>
      <c r="B50" s="56">
        <v>0.21</v>
      </c>
      <c r="C50" s="39">
        <f t="shared" ref="C50:C71" si="1">B50/$B$82</f>
        <v>7.3582061997299343E-6</v>
      </c>
    </row>
    <row r="51" spans="1:3" x14ac:dyDescent="0.2">
      <c r="A51" s="73" t="s">
        <v>183</v>
      </c>
      <c r="B51" s="56">
        <v>0.11</v>
      </c>
      <c r="C51" s="39">
        <f t="shared" si="1"/>
        <v>3.854298485572823E-6</v>
      </c>
    </row>
    <row r="52" spans="1:3" x14ac:dyDescent="0.2">
      <c r="A52" s="73" t="s">
        <v>114</v>
      </c>
      <c r="B52" s="56">
        <v>0.57999999999999996</v>
      </c>
      <c r="C52" s="39">
        <f t="shared" si="1"/>
        <v>2.0322664742111246E-5</v>
      </c>
    </row>
    <row r="53" spans="1:3" x14ac:dyDescent="0.2">
      <c r="A53" s="73" t="s">
        <v>115</v>
      </c>
      <c r="B53" s="56">
        <v>1.0900000000000001</v>
      </c>
      <c r="C53" s="39">
        <f t="shared" si="1"/>
        <v>3.8192594084312522E-5</v>
      </c>
    </row>
    <row r="54" spans="1:3" x14ac:dyDescent="0.2">
      <c r="A54" s="73" t="s">
        <v>116</v>
      </c>
      <c r="B54" s="56">
        <v>1.22</v>
      </c>
      <c r="C54" s="39">
        <f t="shared" si="1"/>
        <v>4.2747674112716761E-5</v>
      </c>
    </row>
    <row r="55" spans="1:3" x14ac:dyDescent="0.2">
      <c r="A55" s="73" t="s">
        <v>200</v>
      </c>
      <c r="B55" s="56">
        <v>0.01</v>
      </c>
      <c r="C55" s="39">
        <f t="shared" si="1"/>
        <v>3.5039077141571116E-7</v>
      </c>
    </row>
    <row r="56" spans="1:3" x14ac:dyDescent="0.2">
      <c r="A56" s="73" t="s">
        <v>124</v>
      </c>
      <c r="B56" s="56">
        <v>0.28999999999999998</v>
      </c>
      <c r="C56" s="39">
        <f t="shared" si="1"/>
        <v>1.0161332371055623E-5</v>
      </c>
    </row>
    <row r="57" spans="1:3" x14ac:dyDescent="0.2">
      <c r="A57" s="73" t="s">
        <v>125</v>
      </c>
      <c r="B57" s="56">
        <v>0.32</v>
      </c>
      <c r="C57" s="39">
        <f t="shared" si="1"/>
        <v>1.1212504685302757E-5</v>
      </c>
    </row>
    <row r="58" spans="1:3" x14ac:dyDescent="0.2">
      <c r="A58" s="73" t="s">
        <v>126</v>
      </c>
      <c r="B58" s="56">
        <v>0.05</v>
      </c>
      <c r="C58" s="39">
        <f t="shared" si="1"/>
        <v>1.7519538570785561E-6</v>
      </c>
    </row>
    <row r="59" spans="1:3" s="56" customFormat="1" x14ac:dyDescent="0.2">
      <c r="A59" s="73" t="s">
        <v>193</v>
      </c>
      <c r="B59" s="56">
        <v>0.6</v>
      </c>
      <c r="C59" s="39">
        <f t="shared" si="1"/>
        <v>2.1023446284942671E-5</v>
      </c>
    </row>
    <row r="60" spans="1:3" s="56" customFormat="1" x14ac:dyDescent="0.2">
      <c r="A60" s="73" t="s">
        <v>213</v>
      </c>
      <c r="B60" s="56">
        <v>2.12</v>
      </c>
      <c r="C60" s="39">
        <f t="shared" si="1"/>
        <v>7.4282843540130776E-5</v>
      </c>
    </row>
    <row r="61" spans="1:3" s="56" customFormat="1" x14ac:dyDescent="0.2">
      <c r="A61" s="73" t="s">
        <v>185</v>
      </c>
      <c r="B61" s="56">
        <v>1.35</v>
      </c>
      <c r="C61" s="39">
        <f t="shared" si="1"/>
        <v>4.7302754141121013E-5</v>
      </c>
    </row>
    <row r="62" spans="1:3" s="56" customFormat="1" x14ac:dyDescent="0.2">
      <c r="A62" s="73" t="s">
        <v>224</v>
      </c>
      <c r="B62" s="56">
        <v>0.26</v>
      </c>
      <c r="C62" s="39">
        <f t="shared" si="1"/>
        <v>9.1101600568084908E-6</v>
      </c>
    </row>
    <row r="63" spans="1:3" s="56" customFormat="1" x14ac:dyDescent="0.2">
      <c r="A63" s="73" t="s">
        <v>186</v>
      </c>
      <c r="B63" s="56">
        <v>2.04</v>
      </c>
      <c r="C63" s="39">
        <f t="shared" si="1"/>
        <v>7.1479717368805077E-5</v>
      </c>
    </row>
    <row r="64" spans="1:3" x14ac:dyDescent="0.2">
      <c r="A64" s="73" t="s">
        <v>225</v>
      </c>
      <c r="B64" s="56">
        <v>1</v>
      </c>
      <c r="C64" s="39">
        <f t="shared" si="1"/>
        <v>3.503907714157112E-5</v>
      </c>
    </row>
    <row r="65" spans="1:3" x14ac:dyDescent="0.2">
      <c r="A65" s="73" t="s">
        <v>215</v>
      </c>
      <c r="B65" s="56">
        <v>0.36</v>
      </c>
      <c r="C65" s="39">
        <f t="shared" si="1"/>
        <v>1.2614067770965602E-5</v>
      </c>
    </row>
    <row r="66" spans="1:3" x14ac:dyDescent="0.2">
      <c r="A66" s="73" t="s">
        <v>226</v>
      </c>
      <c r="B66" s="56">
        <v>0.48</v>
      </c>
      <c r="C66" s="39">
        <f t="shared" si="1"/>
        <v>1.6818757027954135E-5</v>
      </c>
    </row>
    <row r="67" spans="1:3" x14ac:dyDescent="0.2">
      <c r="A67" s="73" t="s">
        <v>251</v>
      </c>
      <c r="B67" s="56">
        <v>0.01</v>
      </c>
      <c r="C67" s="39">
        <f t="shared" si="1"/>
        <v>3.5039077141571116E-7</v>
      </c>
    </row>
    <row r="68" spans="1:3" x14ac:dyDescent="0.2">
      <c r="A68" s="73" t="s">
        <v>40</v>
      </c>
      <c r="B68" s="56">
        <v>3.53</v>
      </c>
      <c r="C68" s="39">
        <f t="shared" si="1"/>
        <v>1.2368794230974603E-4</v>
      </c>
    </row>
    <row r="69" spans="1:3" x14ac:dyDescent="0.2">
      <c r="A69" s="73" t="s">
        <v>41</v>
      </c>
      <c r="B69" s="56">
        <v>0.54</v>
      </c>
      <c r="C69" s="39">
        <f t="shared" si="1"/>
        <v>1.8921101656448407E-5</v>
      </c>
    </row>
    <row r="70" spans="1:3" x14ac:dyDescent="0.2">
      <c r="A70" s="73" t="s">
        <v>217</v>
      </c>
      <c r="B70" s="56">
        <v>0</v>
      </c>
      <c r="C70" s="39">
        <f t="shared" si="1"/>
        <v>0</v>
      </c>
    </row>
    <row r="71" spans="1:3" x14ac:dyDescent="0.2">
      <c r="A71" s="73" t="s">
        <v>117</v>
      </c>
      <c r="B71" s="56">
        <v>0.24</v>
      </c>
      <c r="C71" s="39">
        <f t="shared" si="1"/>
        <v>8.4093785139770675E-6</v>
      </c>
    </row>
    <row r="72" spans="1:3" s="56" customFormat="1" x14ac:dyDescent="0.2">
      <c r="A72" s="73" t="s">
        <v>111</v>
      </c>
      <c r="B72" s="56">
        <v>0.17</v>
      </c>
      <c r="C72" s="39">
        <f t="shared" ref="C72:C78" si="2">B72/$B$82</f>
        <v>5.9566431140670903E-6</v>
      </c>
    </row>
    <row r="73" spans="1:3" s="56" customFormat="1" x14ac:dyDescent="0.2">
      <c r="A73" s="73" t="s">
        <v>187</v>
      </c>
      <c r="B73" s="56">
        <v>0.23</v>
      </c>
      <c r="C73" s="39">
        <f t="shared" si="2"/>
        <v>8.0589877425613567E-6</v>
      </c>
    </row>
    <row r="74" spans="1:3" s="56" customFormat="1" x14ac:dyDescent="0.2">
      <c r="A74" s="73" t="s">
        <v>179</v>
      </c>
      <c r="B74" s="56">
        <v>0.01</v>
      </c>
      <c r="C74" s="39">
        <f t="shared" si="2"/>
        <v>3.5039077141571116E-7</v>
      </c>
    </row>
    <row r="75" spans="1:3" s="56" customFormat="1" x14ac:dyDescent="0.2">
      <c r="A75" s="73" t="s">
        <v>203</v>
      </c>
      <c r="B75" s="56">
        <v>0.12</v>
      </c>
      <c r="C75" s="39">
        <f t="shared" si="2"/>
        <v>4.2046892569885338E-6</v>
      </c>
    </row>
    <row r="76" spans="1:3" s="56" customFormat="1" x14ac:dyDescent="0.2">
      <c r="A76" s="73" t="s">
        <v>46</v>
      </c>
      <c r="B76" s="56">
        <v>2.36</v>
      </c>
      <c r="C76" s="39">
        <f t="shared" si="2"/>
        <v>8.2692222054107836E-5</v>
      </c>
    </row>
    <row r="77" spans="1:3" s="56" customFormat="1" x14ac:dyDescent="0.2">
      <c r="A77" s="75" t="s">
        <v>118</v>
      </c>
      <c r="B77" s="56">
        <v>0.5</v>
      </c>
      <c r="C77" s="39">
        <f t="shared" si="2"/>
        <v>1.751953857078556E-5</v>
      </c>
    </row>
    <row r="78" spans="1:3" s="56" customFormat="1" x14ac:dyDescent="0.2">
      <c r="A78" s="73" t="s">
        <v>204</v>
      </c>
      <c r="B78" s="56">
        <v>0.51</v>
      </c>
      <c r="C78" s="39">
        <f t="shared" si="2"/>
        <v>1.7869929342201269E-5</v>
      </c>
    </row>
    <row r="79" spans="1:3" ht="15" x14ac:dyDescent="0.25">
      <c r="A79" s="28" t="s">
        <v>47</v>
      </c>
      <c r="B79" s="40">
        <f>SUM(B39:B78)</f>
        <v>23.04</v>
      </c>
      <c r="C79" s="31">
        <f>SUM(C39:C78)</f>
        <v>8.0730033734179865E-4</v>
      </c>
    </row>
    <row r="80" spans="1:3" ht="15" x14ac:dyDescent="0.25">
      <c r="A80" s="36" t="s">
        <v>48</v>
      </c>
      <c r="B80" s="37">
        <f>SUM(B37,B79)</f>
        <v>24.38</v>
      </c>
      <c r="C80" s="38">
        <f>B80/$B$82</f>
        <v>8.542527007115038E-4</v>
      </c>
    </row>
    <row r="81" spans="1:8" ht="15" x14ac:dyDescent="0.25">
      <c r="A81" s="9" t="s">
        <v>49</v>
      </c>
      <c r="B81" s="15">
        <f>SUM(B6,B9,B14,B19,B27,B80)</f>
        <v>42.43</v>
      </c>
      <c r="C81" s="17">
        <f>B81/$B$82</f>
        <v>1.4867080431168625E-3</v>
      </c>
      <c r="D81" s="56"/>
      <c r="E81" s="56"/>
      <c r="F81" s="56"/>
      <c r="G81" s="56"/>
      <c r="H81" s="56"/>
    </row>
    <row r="82" spans="1:8" ht="15" x14ac:dyDescent="0.25">
      <c r="A82" s="9" t="s">
        <v>50</v>
      </c>
      <c r="B82" s="15">
        <f>28539564.44/1000</f>
        <v>28539.564440000002</v>
      </c>
      <c r="C82" s="17">
        <f>B82/$B$82</f>
        <v>1</v>
      </c>
      <c r="D82" s="56"/>
      <c r="E82" s="56"/>
      <c r="F82" s="56"/>
      <c r="G82" s="56"/>
      <c r="H82" s="56"/>
    </row>
  </sheetData>
  <mergeCells count="1">
    <mergeCell ref="A1:K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rightToLeft="1" tabSelected="1" zoomScale="80" zoomScaleNormal="80" workbookViewId="0">
      <selection sqref="A1:A2"/>
    </sheetView>
  </sheetViews>
  <sheetFormatPr defaultColWidth="9.125" defaultRowHeight="14.25" x14ac:dyDescent="0.2"/>
  <cols>
    <col min="1" max="1" width="10.75" style="4" bestFit="1" customWidth="1"/>
    <col min="2" max="2" width="71.25" style="4" bestFit="1" customWidth="1"/>
    <col min="3" max="3" width="26.5" style="4" bestFit="1" customWidth="1"/>
    <col min="4" max="4" width="11.875" style="4" bestFit="1" customWidth="1"/>
    <col min="5" max="5" width="17.125" style="4" customWidth="1"/>
    <col min="6" max="255" width="9.125" style="4"/>
    <col min="256" max="256" width="10.75" style="4" bestFit="1" customWidth="1"/>
    <col min="257" max="257" width="9" style="4" bestFit="1" customWidth="1"/>
    <col min="258" max="258" width="71.25" style="4" bestFit="1" customWidth="1"/>
    <col min="259" max="259" width="11.75" style="4" bestFit="1" customWidth="1"/>
    <col min="260" max="260" width="11.875" style="4" bestFit="1" customWidth="1"/>
    <col min="261" max="511" width="9.125" style="4"/>
    <col min="512" max="512" width="10.75" style="4" bestFit="1" customWidth="1"/>
    <col min="513" max="513" width="9" style="4" bestFit="1" customWidth="1"/>
    <col min="514" max="514" width="71.25" style="4" bestFit="1" customWidth="1"/>
    <col min="515" max="515" width="11.75" style="4" bestFit="1" customWidth="1"/>
    <col min="516" max="516" width="11.875" style="4" bestFit="1" customWidth="1"/>
    <col min="517" max="767" width="9.125" style="4"/>
    <col min="768" max="768" width="10.75" style="4" bestFit="1" customWidth="1"/>
    <col min="769" max="769" width="9" style="4" bestFit="1" customWidth="1"/>
    <col min="770" max="770" width="71.25" style="4" bestFit="1" customWidth="1"/>
    <col min="771" max="771" width="11.75" style="4" bestFit="1" customWidth="1"/>
    <col min="772" max="772" width="11.875" style="4" bestFit="1" customWidth="1"/>
    <col min="773" max="1023" width="9.125" style="4"/>
    <col min="1024" max="1024" width="10.75" style="4" bestFit="1" customWidth="1"/>
    <col min="1025" max="1025" width="9" style="4" bestFit="1" customWidth="1"/>
    <col min="1026" max="1026" width="71.25" style="4" bestFit="1" customWidth="1"/>
    <col min="1027" max="1027" width="11.75" style="4" bestFit="1" customWidth="1"/>
    <col min="1028" max="1028" width="11.875" style="4" bestFit="1" customWidth="1"/>
    <col min="1029" max="1279" width="9.125" style="4"/>
    <col min="1280" max="1280" width="10.75" style="4" bestFit="1" customWidth="1"/>
    <col min="1281" max="1281" width="9" style="4" bestFit="1" customWidth="1"/>
    <col min="1282" max="1282" width="71.25" style="4" bestFit="1" customWidth="1"/>
    <col min="1283" max="1283" width="11.75" style="4" bestFit="1" customWidth="1"/>
    <col min="1284" max="1284" width="11.875" style="4" bestFit="1" customWidth="1"/>
    <col min="1285" max="1535" width="9.125" style="4"/>
    <col min="1536" max="1536" width="10.75" style="4" bestFit="1" customWidth="1"/>
    <col min="1537" max="1537" width="9" style="4" bestFit="1" customWidth="1"/>
    <col min="1538" max="1538" width="71.25" style="4" bestFit="1" customWidth="1"/>
    <col min="1539" max="1539" width="11.75" style="4" bestFit="1" customWidth="1"/>
    <col min="1540" max="1540" width="11.875" style="4" bestFit="1" customWidth="1"/>
    <col min="1541" max="1791" width="9.125" style="4"/>
    <col min="1792" max="1792" width="10.75" style="4" bestFit="1" customWidth="1"/>
    <col min="1793" max="1793" width="9" style="4" bestFit="1" customWidth="1"/>
    <col min="1794" max="1794" width="71.25" style="4" bestFit="1" customWidth="1"/>
    <col min="1795" max="1795" width="11.75" style="4" bestFit="1" customWidth="1"/>
    <col min="1796" max="1796" width="11.875" style="4" bestFit="1" customWidth="1"/>
    <col min="1797" max="2047" width="9.125" style="4"/>
    <col min="2048" max="2048" width="10.75" style="4" bestFit="1" customWidth="1"/>
    <col min="2049" max="2049" width="9" style="4" bestFit="1" customWidth="1"/>
    <col min="2050" max="2050" width="71.25" style="4" bestFit="1" customWidth="1"/>
    <col min="2051" max="2051" width="11.75" style="4" bestFit="1" customWidth="1"/>
    <col min="2052" max="2052" width="11.875" style="4" bestFit="1" customWidth="1"/>
    <col min="2053" max="2303" width="9.125" style="4"/>
    <col min="2304" max="2304" width="10.75" style="4" bestFit="1" customWidth="1"/>
    <col min="2305" max="2305" width="9" style="4" bestFit="1" customWidth="1"/>
    <col min="2306" max="2306" width="71.25" style="4" bestFit="1" customWidth="1"/>
    <col min="2307" max="2307" width="11.75" style="4" bestFit="1" customWidth="1"/>
    <col min="2308" max="2308" width="11.875" style="4" bestFit="1" customWidth="1"/>
    <col min="2309" max="2559" width="9.125" style="4"/>
    <col min="2560" max="2560" width="10.75" style="4" bestFit="1" customWidth="1"/>
    <col min="2561" max="2561" width="9" style="4" bestFit="1" customWidth="1"/>
    <col min="2562" max="2562" width="71.25" style="4" bestFit="1" customWidth="1"/>
    <col min="2563" max="2563" width="11.75" style="4" bestFit="1" customWidth="1"/>
    <col min="2564" max="2564" width="11.875" style="4" bestFit="1" customWidth="1"/>
    <col min="2565" max="2815" width="9.125" style="4"/>
    <col min="2816" max="2816" width="10.75" style="4" bestFit="1" customWidth="1"/>
    <col min="2817" max="2817" width="9" style="4" bestFit="1" customWidth="1"/>
    <col min="2818" max="2818" width="71.25" style="4" bestFit="1" customWidth="1"/>
    <col min="2819" max="2819" width="11.75" style="4" bestFit="1" customWidth="1"/>
    <col min="2820" max="2820" width="11.875" style="4" bestFit="1" customWidth="1"/>
    <col min="2821" max="3071" width="9.125" style="4"/>
    <col min="3072" max="3072" width="10.75" style="4" bestFit="1" customWidth="1"/>
    <col min="3073" max="3073" width="9" style="4" bestFit="1" customWidth="1"/>
    <col min="3074" max="3074" width="71.25" style="4" bestFit="1" customWidth="1"/>
    <col min="3075" max="3075" width="11.75" style="4" bestFit="1" customWidth="1"/>
    <col min="3076" max="3076" width="11.875" style="4" bestFit="1" customWidth="1"/>
    <col min="3077" max="3327" width="9.125" style="4"/>
    <col min="3328" max="3328" width="10.75" style="4" bestFit="1" customWidth="1"/>
    <col min="3329" max="3329" width="9" style="4" bestFit="1" customWidth="1"/>
    <col min="3330" max="3330" width="71.25" style="4" bestFit="1" customWidth="1"/>
    <col min="3331" max="3331" width="11.75" style="4" bestFit="1" customWidth="1"/>
    <col min="3332" max="3332" width="11.875" style="4" bestFit="1" customWidth="1"/>
    <col min="3333" max="3583" width="9.125" style="4"/>
    <col min="3584" max="3584" width="10.75" style="4" bestFit="1" customWidth="1"/>
    <col min="3585" max="3585" width="9" style="4" bestFit="1" customWidth="1"/>
    <col min="3586" max="3586" width="71.25" style="4" bestFit="1" customWidth="1"/>
    <col min="3587" max="3587" width="11.75" style="4" bestFit="1" customWidth="1"/>
    <col min="3588" max="3588" width="11.875" style="4" bestFit="1" customWidth="1"/>
    <col min="3589" max="3839" width="9.125" style="4"/>
    <col min="3840" max="3840" width="10.75" style="4" bestFit="1" customWidth="1"/>
    <col min="3841" max="3841" width="9" style="4" bestFit="1" customWidth="1"/>
    <col min="3842" max="3842" width="71.25" style="4" bestFit="1" customWidth="1"/>
    <col min="3843" max="3843" width="11.75" style="4" bestFit="1" customWidth="1"/>
    <col min="3844" max="3844" width="11.875" style="4" bestFit="1" customWidth="1"/>
    <col min="3845" max="4095" width="9.125" style="4"/>
    <col min="4096" max="4096" width="10.75" style="4" bestFit="1" customWidth="1"/>
    <col min="4097" max="4097" width="9" style="4" bestFit="1" customWidth="1"/>
    <col min="4098" max="4098" width="71.25" style="4" bestFit="1" customWidth="1"/>
    <col min="4099" max="4099" width="11.75" style="4" bestFit="1" customWidth="1"/>
    <col min="4100" max="4100" width="11.875" style="4" bestFit="1" customWidth="1"/>
    <col min="4101" max="4351" width="9.125" style="4"/>
    <col min="4352" max="4352" width="10.75" style="4" bestFit="1" customWidth="1"/>
    <col min="4353" max="4353" width="9" style="4" bestFit="1" customWidth="1"/>
    <col min="4354" max="4354" width="71.25" style="4" bestFit="1" customWidth="1"/>
    <col min="4355" max="4355" width="11.75" style="4" bestFit="1" customWidth="1"/>
    <col min="4356" max="4356" width="11.875" style="4" bestFit="1" customWidth="1"/>
    <col min="4357" max="4607" width="9.125" style="4"/>
    <col min="4608" max="4608" width="10.75" style="4" bestFit="1" customWidth="1"/>
    <col min="4609" max="4609" width="9" style="4" bestFit="1" customWidth="1"/>
    <col min="4610" max="4610" width="71.25" style="4" bestFit="1" customWidth="1"/>
    <col min="4611" max="4611" width="11.75" style="4" bestFit="1" customWidth="1"/>
    <col min="4612" max="4612" width="11.875" style="4" bestFit="1" customWidth="1"/>
    <col min="4613" max="4863" width="9.125" style="4"/>
    <col min="4864" max="4864" width="10.75" style="4" bestFit="1" customWidth="1"/>
    <col min="4865" max="4865" width="9" style="4" bestFit="1" customWidth="1"/>
    <col min="4866" max="4866" width="71.25" style="4" bestFit="1" customWidth="1"/>
    <col min="4867" max="4867" width="11.75" style="4" bestFit="1" customWidth="1"/>
    <col min="4868" max="4868" width="11.875" style="4" bestFit="1" customWidth="1"/>
    <col min="4869" max="5119" width="9.125" style="4"/>
    <col min="5120" max="5120" width="10.75" style="4" bestFit="1" customWidth="1"/>
    <col min="5121" max="5121" width="9" style="4" bestFit="1" customWidth="1"/>
    <col min="5122" max="5122" width="71.25" style="4" bestFit="1" customWidth="1"/>
    <col min="5123" max="5123" width="11.75" style="4" bestFit="1" customWidth="1"/>
    <col min="5124" max="5124" width="11.875" style="4" bestFit="1" customWidth="1"/>
    <col min="5125" max="5375" width="9.125" style="4"/>
    <col min="5376" max="5376" width="10.75" style="4" bestFit="1" customWidth="1"/>
    <col min="5377" max="5377" width="9" style="4" bestFit="1" customWidth="1"/>
    <col min="5378" max="5378" width="71.25" style="4" bestFit="1" customWidth="1"/>
    <col min="5379" max="5379" width="11.75" style="4" bestFit="1" customWidth="1"/>
    <col min="5380" max="5380" width="11.875" style="4" bestFit="1" customWidth="1"/>
    <col min="5381" max="5631" width="9.125" style="4"/>
    <col min="5632" max="5632" width="10.75" style="4" bestFit="1" customWidth="1"/>
    <col min="5633" max="5633" width="9" style="4" bestFit="1" customWidth="1"/>
    <col min="5634" max="5634" width="71.25" style="4" bestFit="1" customWidth="1"/>
    <col min="5635" max="5635" width="11.75" style="4" bestFit="1" customWidth="1"/>
    <col min="5636" max="5636" width="11.875" style="4" bestFit="1" customWidth="1"/>
    <col min="5637" max="5887" width="9.125" style="4"/>
    <col min="5888" max="5888" width="10.75" style="4" bestFit="1" customWidth="1"/>
    <col min="5889" max="5889" width="9" style="4" bestFit="1" customWidth="1"/>
    <col min="5890" max="5890" width="71.25" style="4" bestFit="1" customWidth="1"/>
    <col min="5891" max="5891" width="11.75" style="4" bestFit="1" customWidth="1"/>
    <col min="5892" max="5892" width="11.875" style="4" bestFit="1" customWidth="1"/>
    <col min="5893" max="6143" width="9.125" style="4"/>
    <col min="6144" max="6144" width="10.75" style="4" bestFit="1" customWidth="1"/>
    <col min="6145" max="6145" width="9" style="4" bestFit="1" customWidth="1"/>
    <col min="6146" max="6146" width="71.25" style="4" bestFit="1" customWidth="1"/>
    <col min="6147" max="6147" width="11.75" style="4" bestFit="1" customWidth="1"/>
    <col min="6148" max="6148" width="11.875" style="4" bestFit="1" customWidth="1"/>
    <col min="6149" max="6399" width="9.125" style="4"/>
    <col min="6400" max="6400" width="10.75" style="4" bestFit="1" customWidth="1"/>
    <col min="6401" max="6401" width="9" style="4" bestFit="1" customWidth="1"/>
    <col min="6402" max="6402" width="71.25" style="4" bestFit="1" customWidth="1"/>
    <col min="6403" max="6403" width="11.75" style="4" bestFit="1" customWidth="1"/>
    <col min="6404" max="6404" width="11.875" style="4" bestFit="1" customWidth="1"/>
    <col min="6405" max="6655" width="9.125" style="4"/>
    <col min="6656" max="6656" width="10.75" style="4" bestFit="1" customWidth="1"/>
    <col min="6657" max="6657" width="9" style="4" bestFit="1" customWidth="1"/>
    <col min="6658" max="6658" width="71.25" style="4" bestFit="1" customWidth="1"/>
    <col min="6659" max="6659" width="11.75" style="4" bestFit="1" customWidth="1"/>
    <col min="6660" max="6660" width="11.875" style="4" bestFit="1" customWidth="1"/>
    <col min="6661" max="6911" width="9.125" style="4"/>
    <col min="6912" max="6912" width="10.75" style="4" bestFit="1" customWidth="1"/>
    <col min="6913" max="6913" width="9" style="4" bestFit="1" customWidth="1"/>
    <col min="6914" max="6914" width="71.25" style="4" bestFit="1" customWidth="1"/>
    <col min="6915" max="6915" width="11.75" style="4" bestFit="1" customWidth="1"/>
    <col min="6916" max="6916" width="11.875" style="4" bestFit="1" customWidth="1"/>
    <col min="6917" max="7167" width="9.125" style="4"/>
    <col min="7168" max="7168" width="10.75" style="4" bestFit="1" customWidth="1"/>
    <col min="7169" max="7169" width="9" style="4" bestFit="1" customWidth="1"/>
    <col min="7170" max="7170" width="71.25" style="4" bestFit="1" customWidth="1"/>
    <col min="7171" max="7171" width="11.75" style="4" bestFit="1" customWidth="1"/>
    <col min="7172" max="7172" width="11.875" style="4" bestFit="1" customWidth="1"/>
    <col min="7173" max="7423" width="9.125" style="4"/>
    <col min="7424" max="7424" width="10.75" style="4" bestFit="1" customWidth="1"/>
    <col min="7425" max="7425" width="9" style="4" bestFit="1" customWidth="1"/>
    <col min="7426" max="7426" width="71.25" style="4" bestFit="1" customWidth="1"/>
    <col min="7427" max="7427" width="11.75" style="4" bestFit="1" customWidth="1"/>
    <col min="7428" max="7428" width="11.875" style="4" bestFit="1" customWidth="1"/>
    <col min="7429" max="7679" width="9.125" style="4"/>
    <col min="7680" max="7680" width="10.75" style="4" bestFit="1" customWidth="1"/>
    <col min="7681" max="7681" width="9" style="4" bestFit="1" customWidth="1"/>
    <col min="7682" max="7682" width="71.25" style="4" bestFit="1" customWidth="1"/>
    <col min="7683" max="7683" width="11.75" style="4" bestFit="1" customWidth="1"/>
    <col min="7684" max="7684" width="11.875" style="4" bestFit="1" customWidth="1"/>
    <col min="7685" max="7935" width="9.125" style="4"/>
    <col min="7936" max="7936" width="10.75" style="4" bestFit="1" customWidth="1"/>
    <col min="7937" max="7937" width="9" style="4" bestFit="1" customWidth="1"/>
    <col min="7938" max="7938" width="71.25" style="4" bestFit="1" customWidth="1"/>
    <col min="7939" max="7939" width="11.75" style="4" bestFit="1" customWidth="1"/>
    <col min="7940" max="7940" width="11.875" style="4" bestFit="1" customWidth="1"/>
    <col min="7941" max="8191" width="9.125" style="4"/>
    <col min="8192" max="8192" width="10.75" style="4" bestFit="1" customWidth="1"/>
    <col min="8193" max="8193" width="9" style="4" bestFit="1" customWidth="1"/>
    <col min="8194" max="8194" width="71.25" style="4" bestFit="1" customWidth="1"/>
    <col min="8195" max="8195" width="11.75" style="4" bestFit="1" customWidth="1"/>
    <col min="8196" max="8196" width="11.875" style="4" bestFit="1" customWidth="1"/>
    <col min="8197" max="8447" width="9.125" style="4"/>
    <col min="8448" max="8448" width="10.75" style="4" bestFit="1" customWidth="1"/>
    <col min="8449" max="8449" width="9" style="4" bestFit="1" customWidth="1"/>
    <col min="8450" max="8450" width="71.25" style="4" bestFit="1" customWidth="1"/>
    <col min="8451" max="8451" width="11.75" style="4" bestFit="1" customWidth="1"/>
    <col min="8452" max="8452" width="11.875" style="4" bestFit="1" customWidth="1"/>
    <col min="8453" max="8703" width="9.125" style="4"/>
    <col min="8704" max="8704" width="10.75" style="4" bestFit="1" customWidth="1"/>
    <col min="8705" max="8705" width="9" style="4" bestFit="1" customWidth="1"/>
    <col min="8706" max="8706" width="71.25" style="4" bestFit="1" customWidth="1"/>
    <col min="8707" max="8707" width="11.75" style="4" bestFit="1" customWidth="1"/>
    <col min="8708" max="8708" width="11.875" style="4" bestFit="1" customWidth="1"/>
    <col min="8709" max="8959" width="9.125" style="4"/>
    <col min="8960" max="8960" width="10.75" style="4" bestFit="1" customWidth="1"/>
    <col min="8961" max="8961" width="9" style="4" bestFit="1" customWidth="1"/>
    <col min="8962" max="8962" width="71.25" style="4" bestFit="1" customWidth="1"/>
    <col min="8963" max="8963" width="11.75" style="4" bestFit="1" customWidth="1"/>
    <col min="8964" max="8964" width="11.875" style="4" bestFit="1" customWidth="1"/>
    <col min="8965" max="9215" width="9.125" style="4"/>
    <col min="9216" max="9216" width="10.75" style="4" bestFit="1" customWidth="1"/>
    <col min="9217" max="9217" width="9" style="4" bestFit="1" customWidth="1"/>
    <col min="9218" max="9218" width="71.25" style="4" bestFit="1" customWidth="1"/>
    <col min="9219" max="9219" width="11.75" style="4" bestFit="1" customWidth="1"/>
    <col min="9220" max="9220" width="11.875" style="4" bestFit="1" customWidth="1"/>
    <col min="9221" max="9471" width="9.125" style="4"/>
    <col min="9472" max="9472" width="10.75" style="4" bestFit="1" customWidth="1"/>
    <col min="9473" max="9473" width="9" style="4" bestFit="1" customWidth="1"/>
    <col min="9474" max="9474" width="71.25" style="4" bestFit="1" customWidth="1"/>
    <col min="9475" max="9475" width="11.75" style="4" bestFit="1" customWidth="1"/>
    <col min="9476" max="9476" width="11.875" style="4" bestFit="1" customWidth="1"/>
    <col min="9477" max="9727" width="9.125" style="4"/>
    <col min="9728" max="9728" width="10.75" style="4" bestFit="1" customWidth="1"/>
    <col min="9729" max="9729" width="9" style="4" bestFit="1" customWidth="1"/>
    <col min="9730" max="9730" width="71.25" style="4" bestFit="1" customWidth="1"/>
    <col min="9731" max="9731" width="11.75" style="4" bestFit="1" customWidth="1"/>
    <col min="9732" max="9732" width="11.875" style="4" bestFit="1" customWidth="1"/>
    <col min="9733" max="9983" width="9.125" style="4"/>
    <col min="9984" max="9984" width="10.75" style="4" bestFit="1" customWidth="1"/>
    <col min="9985" max="9985" width="9" style="4" bestFit="1" customWidth="1"/>
    <col min="9986" max="9986" width="71.25" style="4" bestFit="1" customWidth="1"/>
    <col min="9987" max="9987" width="11.75" style="4" bestFit="1" customWidth="1"/>
    <col min="9988" max="9988" width="11.875" style="4" bestFit="1" customWidth="1"/>
    <col min="9989" max="10239" width="9.125" style="4"/>
    <col min="10240" max="10240" width="10.75" style="4" bestFit="1" customWidth="1"/>
    <col min="10241" max="10241" width="9" style="4" bestFit="1" customWidth="1"/>
    <col min="10242" max="10242" width="71.25" style="4" bestFit="1" customWidth="1"/>
    <col min="10243" max="10243" width="11.75" style="4" bestFit="1" customWidth="1"/>
    <col min="10244" max="10244" width="11.875" style="4" bestFit="1" customWidth="1"/>
    <col min="10245" max="10495" width="9.125" style="4"/>
    <col min="10496" max="10496" width="10.75" style="4" bestFit="1" customWidth="1"/>
    <col min="10497" max="10497" width="9" style="4" bestFit="1" customWidth="1"/>
    <col min="10498" max="10498" width="71.25" style="4" bestFit="1" customWidth="1"/>
    <col min="10499" max="10499" width="11.75" style="4" bestFit="1" customWidth="1"/>
    <col min="10500" max="10500" width="11.875" style="4" bestFit="1" customWidth="1"/>
    <col min="10501" max="10751" width="9.125" style="4"/>
    <col min="10752" max="10752" width="10.75" style="4" bestFit="1" customWidth="1"/>
    <col min="10753" max="10753" width="9" style="4" bestFit="1" customWidth="1"/>
    <col min="10754" max="10754" width="71.25" style="4" bestFit="1" customWidth="1"/>
    <col min="10755" max="10755" width="11.75" style="4" bestFit="1" customWidth="1"/>
    <col min="10756" max="10756" width="11.875" style="4" bestFit="1" customWidth="1"/>
    <col min="10757" max="11007" width="9.125" style="4"/>
    <col min="11008" max="11008" width="10.75" style="4" bestFit="1" customWidth="1"/>
    <col min="11009" max="11009" width="9" style="4" bestFit="1" customWidth="1"/>
    <col min="11010" max="11010" width="71.25" style="4" bestFit="1" customWidth="1"/>
    <col min="11011" max="11011" width="11.75" style="4" bestFit="1" customWidth="1"/>
    <col min="11012" max="11012" width="11.875" style="4" bestFit="1" customWidth="1"/>
    <col min="11013" max="11263" width="9.125" style="4"/>
    <col min="11264" max="11264" width="10.75" style="4" bestFit="1" customWidth="1"/>
    <col min="11265" max="11265" width="9" style="4" bestFit="1" customWidth="1"/>
    <col min="11266" max="11266" width="71.25" style="4" bestFit="1" customWidth="1"/>
    <col min="11267" max="11267" width="11.75" style="4" bestFit="1" customWidth="1"/>
    <col min="11268" max="11268" width="11.875" style="4" bestFit="1" customWidth="1"/>
    <col min="11269" max="11519" width="9.125" style="4"/>
    <col min="11520" max="11520" width="10.75" style="4" bestFit="1" customWidth="1"/>
    <col min="11521" max="11521" width="9" style="4" bestFit="1" customWidth="1"/>
    <col min="11522" max="11522" width="71.25" style="4" bestFit="1" customWidth="1"/>
    <col min="11523" max="11523" width="11.75" style="4" bestFit="1" customWidth="1"/>
    <col min="11524" max="11524" width="11.875" style="4" bestFit="1" customWidth="1"/>
    <col min="11525" max="11775" width="9.125" style="4"/>
    <col min="11776" max="11776" width="10.75" style="4" bestFit="1" customWidth="1"/>
    <col min="11777" max="11777" width="9" style="4" bestFit="1" customWidth="1"/>
    <col min="11778" max="11778" width="71.25" style="4" bestFit="1" customWidth="1"/>
    <col min="11779" max="11779" width="11.75" style="4" bestFit="1" customWidth="1"/>
    <col min="11780" max="11780" width="11.875" style="4" bestFit="1" customWidth="1"/>
    <col min="11781" max="12031" width="9.125" style="4"/>
    <col min="12032" max="12032" width="10.75" style="4" bestFit="1" customWidth="1"/>
    <col min="12033" max="12033" width="9" style="4" bestFit="1" customWidth="1"/>
    <col min="12034" max="12034" width="71.25" style="4" bestFit="1" customWidth="1"/>
    <col min="12035" max="12035" width="11.75" style="4" bestFit="1" customWidth="1"/>
    <col min="12036" max="12036" width="11.875" style="4" bestFit="1" customWidth="1"/>
    <col min="12037" max="12287" width="9.125" style="4"/>
    <col min="12288" max="12288" width="10.75" style="4" bestFit="1" customWidth="1"/>
    <col min="12289" max="12289" width="9" style="4" bestFit="1" customWidth="1"/>
    <col min="12290" max="12290" width="71.25" style="4" bestFit="1" customWidth="1"/>
    <col min="12291" max="12291" width="11.75" style="4" bestFit="1" customWidth="1"/>
    <col min="12292" max="12292" width="11.875" style="4" bestFit="1" customWidth="1"/>
    <col min="12293" max="12543" width="9.125" style="4"/>
    <col min="12544" max="12544" width="10.75" style="4" bestFit="1" customWidth="1"/>
    <col min="12545" max="12545" width="9" style="4" bestFit="1" customWidth="1"/>
    <col min="12546" max="12546" width="71.25" style="4" bestFit="1" customWidth="1"/>
    <col min="12547" max="12547" width="11.75" style="4" bestFit="1" customWidth="1"/>
    <col min="12548" max="12548" width="11.875" style="4" bestFit="1" customWidth="1"/>
    <col min="12549" max="12799" width="9.125" style="4"/>
    <col min="12800" max="12800" width="10.75" style="4" bestFit="1" customWidth="1"/>
    <col min="12801" max="12801" width="9" style="4" bestFit="1" customWidth="1"/>
    <col min="12802" max="12802" width="71.25" style="4" bestFit="1" customWidth="1"/>
    <col min="12803" max="12803" width="11.75" style="4" bestFit="1" customWidth="1"/>
    <col min="12804" max="12804" width="11.875" style="4" bestFit="1" customWidth="1"/>
    <col min="12805" max="13055" width="9.125" style="4"/>
    <col min="13056" max="13056" width="10.75" style="4" bestFit="1" customWidth="1"/>
    <col min="13057" max="13057" width="9" style="4" bestFit="1" customWidth="1"/>
    <col min="13058" max="13058" width="71.25" style="4" bestFit="1" customWidth="1"/>
    <col min="13059" max="13059" width="11.75" style="4" bestFit="1" customWidth="1"/>
    <col min="13060" max="13060" width="11.875" style="4" bestFit="1" customWidth="1"/>
    <col min="13061" max="13311" width="9.125" style="4"/>
    <col min="13312" max="13312" width="10.75" style="4" bestFit="1" customWidth="1"/>
    <col min="13313" max="13313" width="9" style="4" bestFit="1" customWidth="1"/>
    <col min="13314" max="13314" width="71.25" style="4" bestFit="1" customWidth="1"/>
    <col min="13315" max="13315" width="11.75" style="4" bestFit="1" customWidth="1"/>
    <col min="13316" max="13316" width="11.875" style="4" bestFit="1" customWidth="1"/>
    <col min="13317" max="13567" width="9.125" style="4"/>
    <col min="13568" max="13568" width="10.75" style="4" bestFit="1" customWidth="1"/>
    <col min="13569" max="13569" width="9" style="4" bestFit="1" customWidth="1"/>
    <col min="13570" max="13570" width="71.25" style="4" bestFit="1" customWidth="1"/>
    <col min="13571" max="13571" width="11.75" style="4" bestFit="1" customWidth="1"/>
    <col min="13572" max="13572" width="11.875" style="4" bestFit="1" customWidth="1"/>
    <col min="13573" max="13823" width="9.125" style="4"/>
    <col min="13824" max="13824" width="10.75" style="4" bestFit="1" customWidth="1"/>
    <col min="13825" max="13825" width="9" style="4" bestFit="1" customWidth="1"/>
    <col min="13826" max="13826" width="71.25" style="4" bestFit="1" customWidth="1"/>
    <col min="13827" max="13827" width="11.75" style="4" bestFit="1" customWidth="1"/>
    <col min="13828" max="13828" width="11.875" style="4" bestFit="1" customWidth="1"/>
    <col min="13829" max="14079" width="9.125" style="4"/>
    <col min="14080" max="14080" width="10.75" style="4" bestFit="1" customWidth="1"/>
    <col min="14081" max="14081" width="9" style="4" bestFit="1" customWidth="1"/>
    <col min="14082" max="14082" width="71.25" style="4" bestFit="1" customWidth="1"/>
    <col min="14083" max="14083" width="11.75" style="4" bestFit="1" customWidth="1"/>
    <col min="14084" max="14084" width="11.875" style="4" bestFit="1" customWidth="1"/>
    <col min="14085" max="14335" width="9.125" style="4"/>
    <col min="14336" max="14336" width="10.75" style="4" bestFit="1" customWidth="1"/>
    <col min="14337" max="14337" width="9" style="4" bestFit="1" customWidth="1"/>
    <col min="14338" max="14338" width="71.25" style="4" bestFit="1" customWidth="1"/>
    <col min="14339" max="14339" width="11.75" style="4" bestFit="1" customWidth="1"/>
    <col min="14340" max="14340" width="11.875" style="4" bestFit="1" customWidth="1"/>
    <col min="14341" max="14591" width="9.125" style="4"/>
    <col min="14592" max="14592" width="10.75" style="4" bestFit="1" customWidth="1"/>
    <col min="14593" max="14593" width="9" style="4" bestFit="1" customWidth="1"/>
    <col min="14594" max="14594" width="71.25" style="4" bestFit="1" customWidth="1"/>
    <col min="14595" max="14595" width="11.75" style="4" bestFit="1" customWidth="1"/>
    <col min="14596" max="14596" width="11.875" style="4" bestFit="1" customWidth="1"/>
    <col min="14597" max="14847" width="9.125" style="4"/>
    <col min="14848" max="14848" width="10.75" style="4" bestFit="1" customWidth="1"/>
    <col min="14849" max="14849" width="9" style="4" bestFit="1" customWidth="1"/>
    <col min="14850" max="14850" width="71.25" style="4" bestFit="1" customWidth="1"/>
    <col min="14851" max="14851" width="11.75" style="4" bestFit="1" customWidth="1"/>
    <col min="14852" max="14852" width="11.875" style="4" bestFit="1" customWidth="1"/>
    <col min="14853" max="15103" width="9.125" style="4"/>
    <col min="15104" max="15104" width="10.75" style="4" bestFit="1" customWidth="1"/>
    <col min="15105" max="15105" width="9" style="4" bestFit="1" customWidth="1"/>
    <col min="15106" max="15106" width="71.25" style="4" bestFit="1" customWidth="1"/>
    <col min="15107" max="15107" width="11.75" style="4" bestFit="1" customWidth="1"/>
    <col min="15108" max="15108" width="11.875" style="4" bestFit="1" customWidth="1"/>
    <col min="15109" max="15359" width="9.125" style="4"/>
    <col min="15360" max="15360" width="10.75" style="4" bestFit="1" customWidth="1"/>
    <col min="15361" max="15361" width="9" style="4" bestFit="1" customWidth="1"/>
    <col min="15362" max="15362" width="71.25" style="4" bestFit="1" customWidth="1"/>
    <col min="15363" max="15363" width="11.75" style="4" bestFit="1" customWidth="1"/>
    <col min="15364" max="15364" width="11.875" style="4" bestFit="1" customWidth="1"/>
    <col min="15365" max="15615" width="9.125" style="4"/>
    <col min="15616" max="15616" width="10.75" style="4" bestFit="1" customWidth="1"/>
    <col min="15617" max="15617" width="9" style="4" bestFit="1" customWidth="1"/>
    <col min="15618" max="15618" width="71.25" style="4" bestFit="1" customWidth="1"/>
    <col min="15619" max="15619" width="11.75" style="4" bestFit="1" customWidth="1"/>
    <col min="15620" max="15620" width="11.875" style="4" bestFit="1" customWidth="1"/>
    <col min="15621" max="15871" width="9.125" style="4"/>
    <col min="15872" max="15872" width="10.75" style="4" bestFit="1" customWidth="1"/>
    <col min="15873" max="15873" width="9" style="4" bestFit="1" customWidth="1"/>
    <col min="15874" max="15874" width="71.25" style="4" bestFit="1" customWidth="1"/>
    <col min="15875" max="15875" width="11.75" style="4" bestFit="1" customWidth="1"/>
    <col min="15876" max="15876" width="11.875" style="4" bestFit="1" customWidth="1"/>
    <col min="15877" max="16127" width="9.125" style="4"/>
    <col min="16128" max="16128" width="10.75" style="4" bestFit="1" customWidth="1"/>
    <col min="16129" max="16129" width="9" style="4" bestFit="1" customWidth="1"/>
    <col min="16130" max="16130" width="71.25" style="4" bestFit="1" customWidth="1"/>
    <col min="16131" max="16131" width="11.75" style="4" bestFit="1" customWidth="1"/>
    <col min="16132" max="16132" width="11.875" style="4" bestFit="1" customWidth="1"/>
    <col min="16133" max="16384" width="9.125" style="4"/>
  </cols>
  <sheetData>
    <row r="1" spans="1:12" ht="15" x14ac:dyDescent="0.25">
      <c r="A1" s="93" t="s">
        <v>258</v>
      </c>
      <c r="B1" s="89" t="s">
        <v>234</v>
      </c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2" x14ac:dyDescent="0.2">
      <c r="A2" s="94">
        <v>43508</v>
      </c>
      <c r="B2" s="51"/>
      <c r="C2" s="51"/>
      <c r="D2" s="51"/>
      <c r="E2" s="51"/>
      <c r="F2" s="51"/>
      <c r="G2" s="51"/>
      <c r="H2" s="51"/>
      <c r="I2" s="51"/>
      <c r="J2" s="51"/>
    </row>
    <row r="3" spans="1:12" x14ac:dyDescent="0.2">
      <c r="A3" s="61" t="s">
        <v>138</v>
      </c>
      <c r="B3" s="4" t="s">
        <v>0</v>
      </c>
      <c r="C3" s="32" t="s">
        <v>1</v>
      </c>
      <c r="D3" s="4" t="s">
        <v>2</v>
      </c>
      <c r="E3" s="4" t="s">
        <v>110</v>
      </c>
    </row>
    <row r="4" spans="1:12" ht="15" x14ac:dyDescent="0.25">
      <c r="A4" s="25"/>
      <c r="B4" s="25" t="s">
        <v>77</v>
      </c>
      <c r="C4" s="57">
        <f>SUM(C5:C6)</f>
        <v>916.53000000000009</v>
      </c>
      <c r="D4" s="26"/>
      <c r="E4" s="26"/>
    </row>
    <row r="5" spans="1:12" ht="15" x14ac:dyDescent="0.25">
      <c r="A5" s="49" t="s">
        <v>139</v>
      </c>
      <c r="B5" s="8" t="s">
        <v>78</v>
      </c>
      <c r="C5" s="58">
        <f>'נספח 2- כללי'!B7</f>
        <v>0</v>
      </c>
      <c r="D5" s="20">
        <f>C5/$C$30</f>
        <v>0</v>
      </c>
      <c r="E5" s="46">
        <f>C5*1000</f>
        <v>0</v>
      </c>
    </row>
    <row r="6" spans="1:12" ht="15" x14ac:dyDescent="0.25">
      <c r="A6" s="49" t="s">
        <v>140</v>
      </c>
      <c r="B6" s="8" t="s">
        <v>79</v>
      </c>
      <c r="C6" s="58">
        <f>'נספח 2- כללי'!B27</f>
        <v>916.53000000000009</v>
      </c>
      <c r="D6" s="20">
        <f t="shared" ref="D6:D30" si="0">C6/$C$30</f>
        <v>3.1265109025949741E-4</v>
      </c>
      <c r="E6" s="46">
        <f t="shared" ref="E6:E31" si="1">C6*1000</f>
        <v>916530.00000000012</v>
      </c>
    </row>
    <row r="7" spans="1:12" ht="15" x14ac:dyDescent="0.25">
      <c r="A7" s="25"/>
      <c r="B7" s="25" t="s">
        <v>80</v>
      </c>
      <c r="C7" s="57">
        <f>SUM(C8:C9)</f>
        <v>118.21</v>
      </c>
      <c r="D7" s="27"/>
      <c r="E7" s="47"/>
    </row>
    <row r="8" spans="1:12" ht="15" x14ac:dyDescent="0.25">
      <c r="A8" s="49" t="s">
        <v>141</v>
      </c>
      <c r="B8" s="8" t="s">
        <v>81</v>
      </c>
      <c r="C8" s="58">
        <f>'נספח 2- כללי'!B34</f>
        <v>0</v>
      </c>
      <c r="D8" s="20">
        <f t="shared" si="0"/>
        <v>0</v>
      </c>
      <c r="E8" s="46">
        <f t="shared" si="1"/>
        <v>0</v>
      </c>
    </row>
    <row r="9" spans="1:12" ht="15" x14ac:dyDescent="0.25">
      <c r="A9" s="49" t="s">
        <v>142</v>
      </c>
      <c r="B9" s="8" t="s">
        <v>82</v>
      </c>
      <c r="C9" s="58">
        <f>'נספח 2- כללי'!B37</f>
        <v>118.21</v>
      </c>
      <c r="D9" s="20">
        <f t="shared" si="0"/>
        <v>4.0324359682252822E-5</v>
      </c>
      <c r="E9" s="46">
        <f t="shared" si="1"/>
        <v>118210</v>
      </c>
    </row>
    <row r="10" spans="1:12" ht="15" x14ac:dyDescent="0.25">
      <c r="A10" s="25"/>
      <c r="B10" s="25" t="s">
        <v>83</v>
      </c>
      <c r="C10" s="57">
        <f>SUM(C11:C13)</f>
        <v>0</v>
      </c>
      <c r="D10" s="27"/>
      <c r="E10" s="47"/>
    </row>
    <row r="11" spans="1:12" s="23" customFormat="1" ht="15" x14ac:dyDescent="0.25">
      <c r="A11" s="21" t="s">
        <v>143</v>
      </c>
      <c r="B11" s="21" t="s">
        <v>84</v>
      </c>
      <c r="C11" s="59">
        <f>'נספח 2- כללי'!B41</f>
        <v>0</v>
      </c>
      <c r="D11" s="22">
        <f t="shared" si="0"/>
        <v>0</v>
      </c>
      <c r="E11" s="46">
        <f t="shared" si="1"/>
        <v>0</v>
      </c>
    </row>
    <row r="12" spans="1:12" s="23" customFormat="1" ht="15" x14ac:dyDescent="0.25">
      <c r="A12" s="21" t="s">
        <v>144</v>
      </c>
      <c r="B12" s="21" t="s">
        <v>85</v>
      </c>
      <c r="C12" s="59">
        <v>0</v>
      </c>
      <c r="D12" s="22">
        <f t="shared" si="0"/>
        <v>0</v>
      </c>
      <c r="E12" s="46">
        <f t="shared" si="1"/>
        <v>0</v>
      </c>
    </row>
    <row r="13" spans="1:12" s="23" customFormat="1" ht="15" x14ac:dyDescent="0.25">
      <c r="A13" s="21" t="s">
        <v>145</v>
      </c>
      <c r="B13" s="21" t="s">
        <v>86</v>
      </c>
      <c r="C13" s="59">
        <f>'נספח 2- כללי'!B46</f>
        <v>0</v>
      </c>
      <c r="D13" s="22">
        <f t="shared" si="0"/>
        <v>0</v>
      </c>
      <c r="E13" s="46">
        <f t="shared" si="1"/>
        <v>0</v>
      </c>
    </row>
    <row r="14" spans="1:12" s="23" customFormat="1" ht="15" x14ac:dyDescent="0.25">
      <c r="A14" s="25"/>
      <c r="B14" s="25" t="s">
        <v>87</v>
      </c>
      <c r="C14" s="57">
        <f>SUM(C15:C22)</f>
        <v>3490.22937</v>
      </c>
      <c r="D14" s="27"/>
      <c r="E14" s="47"/>
    </row>
    <row r="15" spans="1:12" s="23" customFormat="1" ht="15" x14ac:dyDescent="0.25">
      <c r="A15" s="21" t="s">
        <v>146</v>
      </c>
      <c r="B15" s="21" t="s">
        <v>88</v>
      </c>
      <c r="C15" s="59">
        <f>'נספח 3 - כללי'!B7</f>
        <v>284.61394000000001</v>
      </c>
      <c r="D15" s="22">
        <f t="shared" si="0"/>
        <v>9.7088866315397392E-5</v>
      </c>
      <c r="E15" s="46">
        <f t="shared" si="1"/>
        <v>284613.94</v>
      </c>
    </row>
    <row r="16" spans="1:12" s="23" customFormat="1" ht="15" x14ac:dyDescent="0.25">
      <c r="A16" s="21" t="s">
        <v>147</v>
      </c>
      <c r="B16" s="21" t="s">
        <v>89</v>
      </c>
      <c r="C16" s="59">
        <f>'נספח 3 - כללי'!B20</f>
        <v>763.50629000000004</v>
      </c>
      <c r="D16" s="22">
        <f t="shared" si="0"/>
        <v>2.604509115778905E-4</v>
      </c>
      <c r="E16" s="46">
        <f t="shared" si="1"/>
        <v>763506.29</v>
      </c>
    </row>
    <row r="17" spans="1:5" s="23" customFormat="1" ht="15" x14ac:dyDescent="0.25">
      <c r="A17" s="21" t="s">
        <v>148</v>
      </c>
      <c r="B17" s="21" t="s">
        <v>90</v>
      </c>
      <c r="C17" s="59">
        <f>'נספח 3 - כללי'!B25</f>
        <v>0</v>
      </c>
      <c r="D17" s="22">
        <f t="shared" si="0"/>
        <v>0</v>
      </c>
      <c r="E17" s="46">
        <f t="shared" si="1"/>
        <v>0</v>
      </c>
    </row>
    <row r="18" spans="1:5" s="23" customFormat="1" ht="15" x14ac:dyDescent="0.25">
      <c r="A18" s="21" t="s">
        <v>149</v>
      </c>
      <c r="B18" s="21" t="s">
        <v>91</v>
      </c>
      <c r="C18" s="59">
        <f>'נספח 3 - כללי'!B30</f>
        <v>0</v>
      </c>
      <c r="D18" s="22">
        <f t="shared" si="0"/>
        <v>0</v>
      </c>
      <c r="E18" s="46">
        <f t="shared" si="1"/>
        <v>0</v>
      </c>
    </row>
    <row r="19" spans="1:5" s="23" customFormat="1" ht="15" x14ac:dyDescent="0.25">
      <c r="A19" s="21" t="s">
        <v>150</v>
      </c>
      <c r="B19" s="21" t="s">
        <v>92</v>
      </c>
      <c r="C19" s="59">
        <f>'נספח 3 - כללי'!B63</f>
        <v>1726.2391400000001</v>
      </c>
      <c r="D19" s="22">
        <f t="shared" si="0"/>
        <v>5.8886293865952793E-4</v>
      </c>
      <c r="E19" s="46">
        <f t="shared" si="1"/>
        <v>1726239.1400000001</v>
      </c>
    </row>
    <row r="20" spans="1:5" s="23" customFormat="1" ht="15" x14ac:dyDescent="0.25">
      <c r="A20" s="21" t="s">
        <v>151</v>
      </c>
      <c r="B20" s="21" t="s">
        <v>93</v>
      </c>
      <c r="C20" s="59">
        <f>'נספח 3 - כללי'!B137</f>
        <v>538.37</v>
      </c>
      <c r="D20" s="22">
        <f t="shared" si="0"/>
        <v>1.8365134525111628E-4</v>
      </c>
      <c r="E20" s="46">
        <f t="shared" si="1"/>
        <v>538370</v>
      </c>
    </row>
    <row r="21" spans="1:5" s="23" customFormat="1" ht="15" x14ac:dyDescent="0.25">
      <c r="A21" s="21" t="s">
        <v>152</v>
      </c>
      <c r="B21" s="21" t="s">
        <v>94</v>
      </c>
      <c r="C21" s="59">
        <f>'נספח 3 - כללי'!B35</f>
        <v>6.9499999999999993</v>
      </c>
      <c r="D21" s="22">
        <f t="shared" si="0"/>
        <v>2.3708171879845792E-6</v>
      </c>
      <c r="E21" s="46">
        <f t="shared" si="1"/>
        <v>6949.9999999999991</v>
      </c>
    </row>
    <row r="22" spans="1:5" s="23" customFormat="1" ht="15" x14ac:dyDescent="0.25">
      <c r="A22" s="21" t="s">
        <v>153</v>
      </c>
      <c r="B22" s="21" t="s">
        <v>95</v>
      </c>
      <c r="C22" s="59">
        <f>'נספח 3 - כללי'!B48</f>
        <v>170.55</v>
      </c>
      <c r="D22" s="22">
        <f t="shared" si="0"/>
        <v>5.8178830418815835E-5</v>
      </c>
      <c r="E22" s="46">
        <f t="shared" si="1"/>
        <v>170550</v>
      </c>
    </row>
    <row r="23" spans="1:5" s="23" customFormat="1" ht="15" x14ac:dyDescent="0.25">
      <c r="A23" s="25"/>
      <c r="B23" s="25" t="s">
        <v>96</v>
      </c>
      <c r="C23" s="57">
        <f>SUM(C24:C25)</f>
        <v>0</v>
      </c>
      <c r="D23" s="27"/>
      <c r="E23" s="47"/>
    </row>
    <row r="24" spans="1:5" s="23" customFormat="1" ht="15" x14ac:dyDescent="0.25">
      <c r="A24" s="21" t="s">
        <v>154</v>
      </c>
      <c r="B24" s="21" t="s">
        <v>97</v>
      </c>
      <c r="C24" s="59">
        <f>'נספח 2- כללי'!B50</f>
        <v>0</v>
      </c>
      <c r="D24" s="22">
        <f t="shared" si="0"/>
        <v>0</v>
      </c>
      <c r="E24" s="46">
        <f t="shared" si="1"/>
        <v>0</v>
      </c>
    </row>
    <row r="25" spans="1:5" s="23" customFormat="1" ht="15" x14ac:dyDescent="0.25">
      <c r="A25" s="21" t="s">
        <v>155</v>
      </c>
      <c r="B25" s="21" t="s">
        <v>98</v>
      </c>
      <c r="C25" s="59">
        <f>'נספח 2- כללי'!B54</f>
        <v>0</v>
      </c>
      <c r="D25" s="22">
        <f t="shared" si="0"/>
        <v>0</v>
      </c>
      <c r="E25" s="46">
        <f t="shared" si="1"/>
        <v>0</v>
      </c>
    </row>
    <row r="26" spans="1:5" s="23" customFormat="1" ht="15" x14ac:dyDescent="0.25">
      <c r="A26" s="25" t="s">
        <v>156</v>
      </c>
      <c r="B26" s="25" t="s">
        <v>99</v>
      </c>
      <c r="C26" s="30">
        <f>C4+C7+C10+C14+C23</f>
        <v>4524.9693699999998</v>
      </c>
      <c r="D26" s="27">
        <f t="shared" si="0"/>
        <v>1.5435791593524826E-3</v>
      </c>
      <c r="E26" s="47">
        <f>SUM(E5:E25)</f>
        <v>4524969.37</v>
      </c>
    </row>
    <row r="27" spans="1:5" ht="15" x14ac:dyDescent="0.25">
      <c r="A27" s="25"/>
      <c r="B27" s="8" t="s">
        <v>100</v>
      </c>
      <c r="C27" s="32"/>
      <c r="D27" s="20"/>
      <c r="E27" s="46">
        <f t="shared" si="1"/>
        <v>0</v>
      </c>
    </row>
    <row r="28" spans="1:5" ht="15" x14ac:dyDescent="0.25">
      <c r="A28" s="49" t="s">
        <v>157</v>
      </c>
      <c r="B28" s="81" t="s">
        <v>255</v>
      </c>
      <c r="C28" s="20">
        <f>SUM(C11,C15:C22,C25)/C34</f>
        <v>1.2066716958018444E-3</v>
      </c>
      <c r="D28" s="20">
        <f t="shared" si="0"/>
        <v>4.1162561103043351E-10</v>
      </c>
      <c r="E28" s="20">
        <f>SUM(E11,E15:E22,E25)/E32</f>
        <v>1.2231793115402886E-3</v>
      </c>
    </row>
    <row r="29" spans="1:5" ht="18.75" customHeight="1" x14ac:dyDescent="0.25">
      <c r="A29" s="49" t="s">
        <v>158</v>
      </c>
      <c r="B29" s="81" t="s">
        <v>256</v>
      </c>
      <c r="C29" s="20">
        <f>C26/C34</f>
        <v>1.5644107834521211E-3</v>
      </c>
      <c r="D29" s="20">
        <f t="shared" si="0"/>
        <v>5.3365927690312387E-10</v>
      </c>
      <c r="E29" s="20">
        <f>E26/E32</f>
        <v>1.5858123727660609E-3</v>
      </c>
    </row>
    <row r="30" spans="1:5" ht="15" x14ac:dyDescent="0.25">
      <c r="A30" s="49"/>
      <c r="B30" s="8" t="s">
        <v>50</v>
      </c>
      <c r="C30" s="66">
        <f>'נספח 3 - כללי'!B140</f>
        <v>2931478.6628100001</v>
      </c>
      <c r="D30" s="20">
        <f t="shared" si="0"/>
        <v>1</v>
      </c>
      <c r="E30" s="46">
        <f>C30*1000</f>
        <v>2931478662.8099999</v>
      </c>
    </row>
    <row r="31" spans="1:5" ht="15" x14ac:dyDescent="0.25">
      <c r="A31" s="49"/>
      <c r="B31" s="13"/>
      <c r="C31" s="15"/>
      <c r="E31" s="46">
        <f t="shared" si="1"/>
        <v>0</v>
      </c>
    </row>
    <row r="32" spans="1:5" ht="15" x14ac:dyDescent="0.25">
      <c r="A32" s="49" t="s">
        <v>159</v>
      </c>
      <c r="B32" s="13" t="s">
        <v>104</v>
      </c>
      <c r="C32" s="33">
        <f>2853407785/1000</f>
        <v>2853407.7850000001</v>
      </c>
      <c r="D32" s="5"/>
      <c r="E32" s="46">
        <f>C32*1000</f>
        <v>2853407785</v>
      </c>
    </row>
    <row r="34" spans="1:3" ht="15" x14ac:dyDescent="0.25">
      <c r="A34" s="63" t="s">
        <v>159</v>
      </c>
      <c r="B34" s="63" t="s">
        <v>191</v>
      </c>
      <c r="C34" s="66">
        <f>AVERAGE(C30:C32)</f>
        <v>2892443.2239049999</v>
      </c>
    </row>
    <row r="38" spans="1:3" x14ac:dyDescent="0.2">
      <c r="B38" s="46"/>
    </row>
  </sheetData>
  <mergeCells count="1">
    <mergeCell ref="B1:L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rightToLeft="1" zoomScale="80" zoomScaleNormal="80" workbookViewId="0">
      <selection activeCell="C6" sqref="C6"/>
    </sheetView>
  </sheetViews>
  <sheetFormatPr defaultColWidth="9.125" defaultRowHeight="14.25" x14ac:dyDescent="0.2"/>
  <cols>
    <col min="1" max="1" width="9.125" style="4"/>
    <col min="2" max="2" width="71.25" style="4" bestFit="1" customWidth="1"/>
    <col min="3" max="3" width="13.625" style="4" bestFit="1" customWidth="1"/>
    <col min="4" max="4" width="11.875" style="4" bestFit="1" customWidth="1"/>
    <col min="5" max="5" width="14.5" style="4" bestFit="1" customWidth="1"/>
    <col min="6" max="255" width="9.125" style="4"/>
    <col min="256" max="256" width="10.75" style="4" bestFit="1" customWidth="1"/>
    <col min="257" max="257" width="9" style="4" bestFit="1" customWidth="1"/>
    <col min="258" max="258" width="71.25" style="4" bestFit="1" customWidth="1"/>
    <col min="259" max="259" width="8.875" style="4" bestFit="1" customWidth="1"/>
    <col min="260" max="260" width="11.875" style="4" bestFit="1" customWidth="1"/>
    <col min="261" max="511" width="9.125" style="4"/>
    <col min="512" max="512" width="10.75" style="4" bestFit="1" customWidth="1"/>
    <col min="513" max="513" width="9" style="4" bestFit="1" customWidth="1"/>
    <col min="514" max="514" width="71.25" style="4" bestFit="1" customWidth="1"/>
    <col min="515" max="515" width="8.875" style="4" bestFit="1" customWidth="1"/>
    <col min="516" max="516" width="11.875" style="4" bestFit="1" customWidth="1"/>
    <col min="517" max="767" width="9.125" style="4"/>
    <col min="768" max="768" width="10.75" style="4" bestFit="1" customWidth="1"/>
    <col min="769" max="769" width="9" style="4" bestFit="1" customWidth="1"/>
    <col min="770" max="770" width="71.25" style="4" bestFit="1" customWidth="1"/>
    <col min="771" max="771" width="8.875" style="4" bestFit="1" customWidth="1"/>
    <col min="772" max="772" width="11.875" style="4" bestFit="1" customWidth="1"/>
    <col min="773" max="1023" width="9.125" style="4"/>
    <col min="1024" max="1024" width="10.75" style="4" bestFit="1" customWidth="1"/>
    <col min="1025" max="1025" width="9" style="4" bestFit="1" customWidth="1"/>
    <col min="1026" max="1026" width="71.25" style="4" bestFit="1" customWidth="1"/>
    <col min="1027" max="1027" width="8.875" style="4" bestFit="1" customWidth="1"/>
    <col min="1028" max="1028" width="11.875" style="4" bestFit="1" customWidth="1"/>
    <col min="1029" max="1279" width="9.125" style="4"/>
    <col min="1280" max="1280" width="10.75" style="4" bestFit="1" customWidth="1"/>
    <col min="1281" max="1281" width="9" style="4" bestFit="1" customWidth="1"/>
    <col min="1282" max="1282" width="71.25" style="4" bestFit="1" customWidth="1"/>
    <col min="1283" max="1283" width="8.875" style="4" bestFit="1" customWidth="1"/>
    <col min="1284" max="1284" width="11.875" style="4" bestFit="1" customWidth="1"/>
    <col min="1285" max="1535" width="9.125" style="4"/>
    <col min="1536" max="1536" width="10.75" style="4" bestFit="1" customWidth="1"/>
    <col min="1537" max="1537" width="9" style="4" bestFit="1" customWidth="1"/>
    <col min="1538" max="1538" width="71.25" style="4" bestFit="1" customWidth="1"/>
    <col min="1539" max="1539" width="8.875" style="4" bestFit="1" customWidth="1"/>
    <col min="1540" max="1540" width="11.875" style="4" bestFit="1" customWidth="1"/>
    <col min="1541" max="1791" width="9.125" style="4"/>
    <col min="1792" max="1792" width="10.75" style="4" bestFit="1" customWidth="1"/>
    <col min="1793" max="1793" width="9" style="4" bestFit="1" customWidth="1"/>
    <col min="1794" max="1794" width="71.25" style="4" bestFit="1" customWidth="1"/>
    <col min="1795" max="1795" width="8.875" style="4" bestFit="1" customWidth="1"/>
    <col min="1796" max="1796" width="11.875" style="4" bestFit="1" customWidth="1"/>
    <col min="1797" max="2047" width="9.125" style="4"/>
    <col min="2048" max="2048" width="10.75" style="4" bestFit="1" customWidth="1"/>
    <col min="2049" max="2049" width="9" style="4" bestFit="1" customWidth="1"/>
    <col min="2050" max="2050" width="71.25" style="4" bestFit="1" customWidth="1"/>
    <col min="2051" max="2051" width="8.875" style="4" bestFit="1" customWidth="1"/>
    <col min="2052" max="2052" width="11.875" style="4" bestFit="1" customWidth="1"/>
    <col min="2053" max="2303" width="9.125" style="4"/>
    <col min="2304" max="2304" width="10.75" style="4" bestFit="1" customWidth="1"/>
    <col min="2305" max="2305" width="9" style="4" bestFit="1" customWidth="1"/>
    <col min="2306" max="2306" width="71.25" style="4" bestFit="1" customWidth="1"/>
    <col min="2307" max="2307" width="8.875" style="4" bestFit="1" customWidth="1"/>
    <col min="2308" max="2308" width="11.875" style="4" bestFit="1" customWidth="1"/>
    <col min="2309" max="2559" width="9.125" style="4"/>
    <col min="2560" max="2560" width="10.75" style="4" bestFit="1" customWidth="1"/>
    <col min="2561" max="2561" width="9" style="4" bestFit="1" customWidth="1"/>
    <col min="2562" max="2562" width="71.25" style="4" bestFit="1" customWidth="1"/>
    <col min="2563" max="2563" width="8.875" style="4" bestFit="1" customWidth="1"/>
    <col min="2564" max="2564" width="11.875" style="4" bestFit="1" customWidth="1"/>
    <col min="2565" max="2815" width="9.125" style="4"/>
    <col min="2816" max="2816" width="10.75" style="4" bestFit="1" customWidth="1"/>
    <col min="2817" max="2817" width="9" style="4" bestFit="1" customWidth="1"/>
    <col min="2818" max="2818" width="71.25" style="4" bestFit="1" customWidth="1"/>
    <col min="2819" max="2819" width="8.875" style="4" bestFit="1" customWidth="1"/>
    <col min="2820" max="2820" width="11.875" style="4" bestFit="1" customWidth="1"/>
    <col min="2821" max="3071" width="9.125" style="4"/>
    <col min="3072" max="3072" width="10.75" style="4" bestFit="1" customWidth="1"/>
    <col min="3073" max="3073" width="9" style="4" bestFit="1" customWidth="1"/>
    <col min="3074" max="3074" width="71.25" style="4" bestFit="1" customWidth="1"/>
    <col min="3075" max="3075" width="8.875" style="4" bestFit="1" customWidth="1"/>
    <col min="3076" max="3076" width="11.875" style="4" bestFit="1" customWidth="1"/>
    <col min="3077" max="3327" width="9.125" style="4"/>
    <col min="3328" max="3328" width="10.75" style="4" bestFit="1" customWidth="1"/>
    <col min="3329" max="3329" width="9" style="4" bestFit="1" customWidth="1"/>
    <col min="3330" max="3330" width="71.25" style="4" bestFit="1" customWidth="1"/>
    <col min="3331" max="3331" width="8.875" style="4" bestFit="1" customWidth="1"/>
    <col min="3332" max="3332" width="11.875" style="4" bestFit="1" customWidth="1"/>
    <col min="3333" max="3583" width="9.125" style="4"/>
    <col min="3584" max="3584" width="10.75" style="4" bestFit="1" customWidth="1"/>
    <col min="3585" max="3585" width="9" style="4" bestFit="1" customWidth="1"/>
    <col min="3586" max="3586" width="71.25" style="4" bestFit="1" customWidth="1"/>
    <col min="3587" max="3587" width="8.875" style="4" bestFit="1" customWidth="1"/>
    <col min="3588" max="3588" width="11.875" style="4" bestFit="1" customWidth="1"/>
    <col min="3589" max="3839" width="9.125" style="4"/>
    <col min="3840" max="3840" width="10.75" style="4" bestFit="1" customWidth="1"/>
    <col min="3841" max="3841" width="9" style="4" bestFit="1" customWidth="1"/>
    <col min="3842" max="3842" width="71.25" style="4" bestFit="1" customWidth="1"/>
    <col min="3843" max="3843" width="8.875" style="4" bestFit="1" customWidth="1"/>
    <col min="3844" max="3844" width="11.875" style="4" bestFit="1" customWidth="1"/>
    <col min="3845" max="4095" width="9.125" style="4"/>
    <col min="4096" max="4096" width="10.75" style="4" bestFit="1" customWidth="1"/>
    <col min="4097" max="4097" width="9" style="4" bestFit="1" customWidth="1"/>
    <col min="4098" max="4098" width="71.25" style="4" bestFit="1" customWidth="1"/>
    <col min="4099" max="4099" width="8.875" style="4" bestFit="1" customWidth="1"/>
    <col min="4100" max="4100" width="11.875" style="4" bestFit="1" customWidth="1"/>
    <col min="4101" max="4351" width="9.125" style="4"/>
    <col min="4352" max="4352" width="10.75" style="4" bestFit="1" customWidth="1"/>
    <col min="4353" max="4353" width="9" style="4" bestFit="1" customWidth="1"/>
    <col min="4354" max="4354" width="71.25" style="4" bestFit="1" customWidth="1"/>
    <col min="4355" max="4355" width="8.875" style="4" bestFit="1" customWidth="1"/>
    <col min="4356" max="4356" width="11.875" style="4" bestFit="1" customWidth="1"/>
    <col min="4357" max="4607" width="9.125" style="4"/>
    <col min="4608" max="4608" width="10.75" style="4" bestFit="1" customWidth="1"/>
    <col min="4609" max="4609" width="9" style="4" bestFit="1" customWidth="1"/>
    <col min="4610" max="4610" width="71.25" style="4" bestFit="1" customWidth="1"/>
    <col min="4611" max="4611" width="8.875" style="4" bestFit="1" customWidth="1"/>
    <col min="4612" max="4612" width="11.875" style="4" bestFit="1" customWidth="1"/>
    <col min="4613" max="4863" width="9.125" style="4"/>
    <col min="4864" max="4864" width="10.75" style="4" bestFit="1" customWidth="1"/>
    <col min="4865" max="4865" width="9" style="4" bestFit="1" customWidth="1"/>
    <col min="4866" max="4866" width="71.25" style="4" bestFit="1" customWidth="1"/>
    <col min="4867" max="4867" width="8.875" style="4" bestFit="1" customWidth="1"/>
    <col min="4868" max="4868" width="11.875" style="4" bestFit="1" customWidth="1"/>
    <col min="4869" max="5119" width="9.125" style="4"/>
    <col min="5120" max="5120" width="10.75" style="4" bestFit="1" customWidth="1"/>
    <col min="5121" max="5121" width="9" style="4" bestFit="1" customWidth="1"/>
    <col min="5122" max="5122" width="71.25" style="4" bestFit="1" customWidth="1"/>
    <col min="5123" max="5123" width="8.875" style="4" bestFit="1" customWidth="1"/>
    <col min="5124" max="5124" width="11.875" style="4" bestFit="1" customWidth="1"/>
    <col min="5125" max="5375" width="9.125" style="4"/>
    <col min="5376" max="5376" width="10.75" style="4" bestFit="1" customWidth="1"/>
    <col min="5377" max="5377" width="9" style="4" bestFit="1" customWidth="1"/>
    <col min="5378" max="5378" width="71.25" style="4" bestFit="1" customWidth="1"/>
    <col min="5379" max="5379" width="8.875" style="4" bestFit="1" customWidth="1"/>
    <col min="5380" max="5380" width="11.875" style="4" bestFit="1" customWidth="1"/>
    <col min="5381" max="5631" width="9.125" style="4"/>
    <col min="5632" max="5632" width="10.75" style="4" bestFit="1" customWidth="1"/>
    <col min="5633" max="5633" width="9" style="4" bestFit="1" customWidth="1"/>
    <col min="5634" max="5634" width="71.25" style="4" bestFit="1" customWidth="1"/>
    <col min="5635" max="5635" width="8.875" style="4" bestFit="1" customWidth="1"/>
    <col min="5636" max="5636" width="11.875" style="4" bestFit="1" customWidth="1"/>
    <col min="5637" max="5887" width="9.125" style="4"/>
    <col min="5888" max="5888" width="10.75" style="4" bestFit="1" customWidth="1"/>
    <col min="5889" max="5889" width="9" style="4" bestFit="1" customWidth="1"/>
    <col min="5890" max="5890" width="71.25" style="4" bestFit="1" customWidth="1"/>
    <col min="5891" max="5891" width="8.875" style="4" bestFit="1" customWidth="1"/>
    <col min="5892" max="5892" width="11.875" style="4" bestFit="1" customWidth="1"/>
    <col min="5893" max="6143" width="9.125" style="4"/>
    <col min="6144" max="6144" width="10.75" style="4" bestFit="1" customWidth="1"/>
    <col min="6145" max="6145" width="9" style="4" bestFit="1" customWidth="1"/>
    <col min="6146" max="6146" width="71.25" style="4" bestFit="1" customWidth="1"/>
    <col min="6147" max="6147" width="8.875" style="4" bestFit="1" customWidth="1"/>
    <col min="6148" max="6148" width="11.875" style="4" bestFit="1" customWidth="1"/>
    <col min="6149" max="6399" width="9.125" style="4"/>
    <col min="6400" max="6400" width="10.75" style="4" bestFit="1" customWidth="1"/>
    <col min="6401" max="6401" width="9" style="4" bestFit="1" customWidth="1"/>
    <col min="6402" max="6402" width="71.25" style="4" bestFit="1" customWidth="1"/>
    <col min="6403" max="6403" width="8.875" style="4" bestFit="1" customWidth="1"/>
    <col min="6404" max="6404" width="11.875" style="4" bestFit="1" customWidth="1"/>
    <col min="6405" max="6655" width="9.125" style="4"/>
    <col min="6656" max="6656" width="10.75" style="4" bestFit="1" customWidth="1"/>
    <col min="6657" max="6657" width="9" style="4" bestFit="1" customWidth="1"/>
    <col min="6658" max="6658" width="71.25" style="4" bestFit="1" customWidth="1"/>
    <col min="6659" max="6659" width="8.875" style="4" bestFit="1" customWidth="1"/>
    <col min="6660" max="6660" width="11.875" style="4" bestFit="1" customWidth="1"/>
    <col min="6661" max="6911" width="9.125" style="4"/>
    <col min="6912" max="6912" width="10.75" style="4" bestFit="1" customWidth="1"/>
    <col min="6913" max="6913" width="9" style="4" bestFit="1" customWidth="1"/>
    <col min="6914" max="6914" width="71.25" style="4" bestFit="1" customWidth="1"/>
    <col min="6915" max="6915" width="8.875" style="4" bestFit="1" customWidth="1"/>
    <col min="6916" max="6916" width="11.875" style="4" bestFit="1" customWidth="1"/>
    <col min="6917" max="7167" width="9.125" style="4"/>
    <col min="7168" max="7168" width="10.75" style="4" bestFit="1" customWidth="1"/>
    <col min="7169" max="7169" width="9" style="4" bestFit="1" customWidth="1"/>
    <col min="7170" max="7170" width="71.25" style="4" bestFit="1" customWidth="1"/>
    <col min="7171" max="7171" width="8.875" style="4" bestFit="1" customWidth="1"/>
    <col min="7172" max="7172" width="11.875" style="4" bestFit="1" customWidth="1"/>
    <col min="7173" max="7423" width="9.125" style="4"/>
    <col min="7424" max="7424" width="10.75" style="4" bestFit="1" customWidth="1"/>
    <col min="7425" max="7425" width="9" style="4" bestFit="1" customWidth="1"/>
    <col min="7426" max="7426" width="71.25" style="4" bestFit="1" customWidth="1"/>
    <col min="7427" max="7427" width="8.875" style="4" bestFit="1" customWidth="1"/>
    <col min="7428" max="7428" width="11.875" style="4" bestFit="1" customWidth="1"/>
    <col min="7429" max="7679" width="9.125" style="4"/>
    <col min="7680" max="7680" width="10.75" style="4" bestFit="1" customWidth="1"/>
    <col min="7681" max="7681" width="9" style="4" bestFit="1" customWidth="1"/>
    <col min="7682" max="7682" width="71.25" style="4" bestFit="1" customWidth="1"/>
    <col min="7683" max="7683" width="8.875" style="4" bestFit="1" customWidth="1"/>
    <col min="7684" max="7684" width="11.875" style="4" bestFit="1" customWidth="1"/>
    <col min="7685" max="7935" width="9.125" style="4"/>
    <col min="7936" max="7936" width="10.75" style="4" bestFit="1" customWidth="1"/>
    <col min="7937" max="7937" width="9" style="4" bestFit="1" customWidth="1"/>
    <col min="7938" max="7938" width="71.25" style="4" bestFit="1" customWidth="1"/>
    <col min="7939" max="7939" width="8.875" style="4" bestFit="1" customWidth="1"/>
    <col min="7940" max="7940" width="11.875" style="4" bestFit="1" customWidth="1"/>
    <col min="7941" max="8191" width="9.125" style="4"/>
    <col min="8192" max="8192" width="10.75" style="4" bestFit="1" customWidth="1"/>
    <col min="8193" max="8193" width="9" style="4" bestFit="1" customWidth="1"/>
    <col min="8194" max="8194" width="71.25" style="4" bestFit="1" customWidth="1"/>
    <col min="8195" max="8195" width="8.875" style="4" bestFit="1" customWidth="1"/>
    <col min="8196" max="8196" width="11.875" style="4" bestFit="1" customWidth="1"/>
    <col min="8197" max="8447" width="9.125" style="4"/>
    <col min="8448" max="8448" width="10.75" style="4" bestFit="1" customWidth="1"/>
    <col min="8449" max="8449" width="9" style="4" bestFit="1" customWidth="1"/>
    <col min="8450" max="8450" width="71.25" style="4" bestFit="1" customWidth="1"/>
    <col min="8451" max="8451" width="8.875" style="4" bestFit="1" customWidth="1"/>
    <col min="8452" max="8452" width="11.875" style="4" bestFit="1" customWidth="1"/>
    <col min="8453" max="8703" width="9.125" style="4"/>
    <col min="8704" max="8704" width="10.75" style="4" bestFit="1" customWidth="1"/>
    <col min="8705" max="8705" width="9" style="4" bestFit="1" customWidth="1"/>
    <col min="8706" max="8706" width="71.25" style="4" bestFit="1" customWidth="1"/>
    <col min="8707" max="8707" width="8.875" style="4" bestFit="1" customWidth="1"/>
    <col min="8708" max="8708" width="11.875" style="4" bestFit="1" customWidth="1"/>
    <col min="8709" max="8959" width="9.125" style="4"/>
    <col min="8960" max="8960" width="10.75" style="4" bestFit="1" customWidth="1"/>
    <col min="8961" max="8961" width="9" style="4" bestFit="1" customWidth="1"/>
    <col min="8962" max="8962" width="71.25" style="4" bestFit="1" customWidth="1"/>
    <col min="8963" max="8963" width="8.875" style="4" bestFit="1" customWidth="1"/>
    <col min="8964" max="8964" width="11.875" style="4" bestFit="1" customWidth="1"/>
    <col min="8965" max="9215" width="9.125" style="4"/>
    <col min="9216" max="9216" width="10.75" style="4" bestFit="1" customWidth="1"/>
    <col min="9217" max="9217" width="9" style="4" bestFit="1" customWidth="1"/>
    <col min="9218" max="9218" width="71.25" style="4" bestFit="1" customWidth="1"/>
    <col min="9219" max="9219" width="8.875" style="4" bestFit="1" customWidth="1"/>
    <col min="9220" max="9220" width="11.875" style="4" bestFit="1" customWidth="1"/>
    <col min="9221" max="9471" width="9.125" style="4"/>
    <col min="9472" max="9472" width="10.75" style="4" bestFit="1" customWidth="1"/>
    <col min="9473" max="9473" width="9" style="4" bestFit="1" customWidth="1"/>
    <col min="9474" max="9474" width="71.25" style="4" bestFit="1" customWidth="1"/>
    <col min="9475" max="9475" width="8.875" style="4" bestFit="1" customWidth="1"/>
    <col min="9476" max="9476" width="11.875" style="4" bestFit="1" customWidth="1"/>
    <col min="9477" max="9727" width="9.125" style="4"/>
    <col min="9728" max="9728" width="10.75" style="4" bestFit="1" customWidth="1"/>
    <col min="9729" max="9729" width="9" style="4" bestFit="1" customWidth="1"/>
    <col min="9730" max="9730" width="71.25" style="4" bestFit="1" customWidth="1"/>
    <col min="9731" max="9731" width="8.875" style="4" bestFit="1" customWidth="1"/>
    <col min="9732" max="9732" width="11.875" style="4" bestFit="1" customWidth="1"/>
    <col min="9733" max="9983" width="9.125" style="4"/>
    <col min="9984" max="9984" width="10.75" style="4" bestFit="1" customWidth="1"/>
    <col min="9985" max="9985" width="9" style="4" bestFit="1" customWidth="1"/>
    <col min="9986" max="9986" width="71.25" style="4" bestFit="1" customWidth="1"/>
    <col min="9987" max="9987" width="8.875" style="4" bestFit="1" customWidth="1"/>
    <col min="9988" max="9988" width="11.875" style="4" bestFit="1" customWidth="1"/>
    <col min="9989" max="10239" width="9.125" style="4"/>
    <col min="10240" max="10240" width="10.75" style="4" bestFit="1" customWidth="1"/>
    <col min="10241" max="10241" width="9" style="4" bestFit="1" customWidth="1"/>
    <col min="10242" max="10242" width="71.25" style="4" bestFit="1" customWidth="1"/>
    <col min="10243" max="10243" width="8.875" style="4" bestFit="1" customWidth="1"/>
    <col min="10244" max="10244" width="11.875" style="4" bestFit="1" customWidth="1"/>
    <col min="10245" max="10495" width="9.125" style="4"/>
    <col min="10496" max="10496" width="10.75" style="4" bestFit="1" customWidth="1"/>
    <col min="10497" max="10497" width="9" style="4" bestFit="1" customWidth="1"/>
    <col min="10498" max="10498" width="71.25" style="4" bestFit="1" customWidth="1"/>
    <col min="10499" max="10499" width="8.875" style="4" bestFit="1" customWidth="1"/>
    <col min="10500" max="10500" width="11.875" style="4" bestFit="1" customWidth="1"/>
    <col min="10501" max="10751" width="9.125" style="4"/>
    <col min="10752" max="10752" width="10.75" style="4" bestFit="1" customWidth="1"/>
    <col min="10753" max="10753" width="9" style="4" bestFit="1" customWidth="1"/>
    <col min="10754" max="10754" width="71.25" style="4" bestFit="1" customWidth="1"/>
    <col min="10755" max="10755" width="8.875" style="4" bestFit="1" customWidth="1"/>
    <col min="10756" max="10756" width="11.875" style="4" bestFit="1" customWidth="1"/>
    <col min="10757" max="11007" width="9.125" style="4"/>
    <col min="11008" max="11008" width="10.75" style="4" bestFit="1" customWidth="1"/>
    <col min="11009" max="11009" width="9" style="4" bestFit="1" customWidth="1"/>
    <col min="11010" max="11010" width="71.25" style="4" bestFit="1" customWidth="1"/>
    <col min="11011" max="11011" width="8.875" style="4" bestFit="1" customWidth="1"/>
    <col min="11012" max="11012" width="11.875" style="4" bestFit="1" customWidth="1"/>
    <col min="11013" max="11263" width="9.125" style="4"/>
    <col min="11264" max="11264" width="10.75" style="4" bestFit="1" customWidth="1"/>
    <col min="11265" max="11265" width="9" style="4" bestFit="1" customWidth="1"/>
    <col min="11266" max="11266" width="71.25" style="4" bestFit="1" customWidth="1"/>
    <col min="11267" max="11267" width="8.875" style="4" bestFit="1" customWidth="1"/>
    <col min="11268" max="11268" width="11.875" style="4" bestFit="1" customWidth="1"/>
    <col min="11269" max="11519" width="9.125" style="4"/>
    <col min="11520" max="11520" width="10.75" style="4" bestFit="1" customWidth="1"/>
    <col min="11521" max="11521" width="9" style="4" bestFit="1" customWidth="1"/>
    <col min="11522" max="11522" width="71.25" style="4" bestFit="1" customWidth="1"/>
    <col min="11523" max="11523" width="8.875" style="4" bestFit="1" customWidth="1"/>
    <col min="11524" max="11524" width="11.875" style="4" bestFit="1" customWidth="1"/>
    <col min="11525" max="11775" width="9.125" style="4"/>
    <col min="11776" max="11776" width="10.75" style="4" bestFit="1" customWidth="1"/>
    <col min="11777" max="11777" width="9" style="4" bestFit="1" customWidth="1"/>
    <col min="11778" max="11778" width="71.25" style="4" bestFit="1" customWidth="1"/>
    <col min="11779" max="11779" width="8.875" style="4" bestFit="1" customWidth="1"/>
    <col min="11780" max="11780" width="11.875" style="4" bestFit="1" customWidth="1"/>
    <col min="11781" max="12031" width="9.125" style="4"/>
    <col min="12032" max="12032" width="10.75" style="4" bestFit="1" customWidth="1"/>
    <col min="12033" max="12033" width="9" style="4" bestFit="1" customWidth="1"/>
    <col min="12034" max="12034" width="71.25" style="4" bestFit="1" customWidth="1"/>
    <col min="12035" max="12035" width="8.875" style="4" bestFit="1" customWidth="1"/>
    <col min="12036" max="12036" width="11.875" style="4" bestFit="1" customWidth="1"/>
    <col min="12037" max="12287" width="9.125" style="4"/>
    <col min="12288" max="12288" width="10.75" style="4" bestFit="1" customWidth="1"/>
    <col min="12289" max="12289" width="9" style="4" bestFit="1" customWidth="1"/>
    <col min="12290" max="12290" width="71.25" style="4" bestFit="1" customWidth="1"/>
    <col min="12291" max="12291" width="8.875" style="4" bestFit="1" customWidth="1"/>
    <col min="12292" max="12292" width="11.875" style="4" bestFit="1" customWidth="1"/>
    <col min="12293" max="12543" width="9.125" style="4"/>
    <col min="12544" max="12544" width="10.75" style="4" bestFit="1" customWidth="1"/>
    <col min="12545" max="12545" width="9" style="4" bestFit="1" customWidth="1"/>
    <col min="12546" max="12546" width="71.25" style="4" bestFit="1" customWidth="1"/>
    <col min="12547" max="12547" width="8.875" style="4" bestFit="1" customWidth="1"/>
    <col min="12548" max="12548" width="11.875" style="4" bestFit="1" customWidth="1"/>
    <col min="12549" max="12799" width="9.125" style="4"/>
    <col min="12800" max="12800" width="10.75" style="4" bestFit="1" customWidth="1"/>
    <col min="12801" max="12801" width="9" style="4" bestFit="1" customWidth="1"/>
    <col min="12802" max="12802" width="71.25" style="4" bestFit="1" customWidth="1"/>
    <col min="12803" max="12803" width="8.875" style="4" bestFit="1" customWidth="1"/>
    <col min="12804" max="12804" width="11.875" style="4" bestFit="1" customWidth="1"/>
    <col min="12805" max="13055" width="9.125" style="4"/>
    <col min="13056" max="13056" width="10.75" style="4" bestFit="1" customWidth="1"/>
    <col min="13057" max="13057" width="9" style="4" bestFit="1" customWidth="1"/>
    <col min="13058" max="13058" width="71.25" style="4" bestFit="1" customWidth="1"/>
    <col min="13059" max="13059" width="8.875" style="4" bestFit="1" customWidth="1"/>
    <col min="13060" max="13060" width="11.875" style="4" bestFit="1" customWidth="1"/>
    <col min="13061" max="13311" width="9.125" style="4"/>
    <col min="13312" max="13312" width="10.75" style="4" bestFit="1" customWidth="1"/>
    <col min="13313" max="13313" width="9" style="4" bestFit="1" customWidth="1"/>
    <col min="13314" max="13314" width="71.25" style="4" bestFit="1" customWidth="1"/>
    <col min="13315" max="13315" width="8.875" style="4" bestFit="1" customWidth="1"/>
    <col min="13316" max="13316" width="11.875" style="4" bestFit="1" customWidth="1"/>
    <col min="13317" max="13567" width="9.125" style="4"/>
    <col min="13568" max="13568" width="10.75" style="4" bestFit="1" customWidth="1"/>
    <col min="13569" max="13569" width="9" style="4" bestFit="1" customWidth="1"/>
    <col min="13570" max="13570" width="71.25" style="4" bestFit="1" customWidth="1"/>
    <col min="13571" max="13571" width="8.875" style="4" bestFit="1" customWidth="1"/>
    <col min="13572" max="13572" width="11.875" style="4" bestFit="1" customWidth="1"/>
    <col min="13573" max="13823" width="9.125" style="4"/>
    <col min="13824" max="13824" width="10.75" style="4" bestFit="1" customWidth="1"/>
    <col min="13825" max="13825" width="9" style="4" bestFit="1" customWidth="1"/>
    <col min="13826" max="13826" width="71.25" style="4" bestFit="1" customWidth="1"/>
    <col min="13827" max="13827" width="8.875" style="4" bestFit="1" customWidth="1"/>
    <col min="13828" max="13828" width="11.875" style="4" bestFit="1" customWidth="1"/>
    <col min="13829" max="14079" width="9.125" style="4"/>
    <col min="14080" max="14080" width="10.75" style="4" bestFit="1" customWidth="1"/>
    <col min="14081" max="14081" width="9" style="4" bestFit="1" customWidth="1"/>
    <col min="14082" max="14082" width="71.25" style="4" bestFit="1" customWidth="1"/>
    <col min="14083" max="14083" width="8.875" style="4" bestFit="1" customWidth="1"/>
    <col min="14084" max="14084" width="11.875" style="4" bestFit="1" customWidth="1"/>
    <col min="14085" max="14335" width="9.125" style="4"/>
    <col min="14336" max="14336" width="10.75" style="4" bestFit="1" customWidth="1"/>
    <col min="14337" max="14337" width="9" style="4" bestFit="1" customWidth="1"/>
    <col min="14338" max="14338" width="71.25" style="4" bestFit="1" customWidth="1"/>
    <col min="14339" max="14339" width="8.875" style="4" bestFit="1" customWidth="1"/>
    <col min="14340" max="14340" width="11.875" style="4" bestFit="1" customWidth="1"/>
    <col min="14341" max="14591" width="9.125" style="4"/>
    <col min="14592" max="14592" width="10.75" style="4" bestFit="1" customWidth="1"/>
    <col min="14593" max="14593" width="9" style="4" bestFit="1" customWidth="1"/>
    <col min="14594" max="14594" width="71.25" style="4" bestFit="1" customWidth="1"/>
    <col min="14595" max="14595" width="8.875" style="4" bestFit="1" customWidth="1"/>
    <col min="14596" max="14596" width="11.875" style="4" bestFit="1" customWidth="1"/>
    <col min="14597" max="14847" width="9.125" style="4"/>
    <col min="14848" max="14848" width="10.75" style="4" bestFit="1" customWidth="1"/>
    <col min="14849" max="14849" width="9" style="4" bestFit="1" customWidth="1"/>
    <col min="14850" max="14850" width="71.25" style="4" bestFit="1" customWidth="1"/>
    <col min="14851" max="14851" width="8.875" style="4" bestFit="1" customWidth="1"/>
    <col min="14852" max="14852" width="11.875" style="4" bestFit="1" customWidth="1"/>
    <col min="14853" max="15103" width="9.125" style="4"/>
    <col min="15104" max="15104" width="10.75" style="4" bestFit="1" customWidth="1"/>
    <col min="15105" max="15105" width="9" style="4" bestFit="1" customWidth="1"/>
    <col min="15106" max="15106" width="71.25" style="4" bestFit="1" customWidth="1"/>
    <col min="15107" max="15107" width="8.875" style="4" bestFit="1" customWidth="1"/>
    <col min="15108" max="15108" width="11.875" style="4" bestFit="1" customWidth="1"/>
    <col min="15109" max="15359" width="9.125" style="4"/>
    <col min="15360" max="15360" width="10.75" style="4" bestFit="1" customWidth="1"/>
    <col min="15361" max="15361" width="9" style="4" bestFit="1" customWidth="1"/>
    <col min="15362" max="15362" width="71.25" style="4" bestFit="1" customWidth="1"/>
    <col min="15363" max="15363" width="8.875" style="4" bestFit="1" customWidth="1"/>
    <col min="15364" max="15364" width="11.875" style="4" bestFit="1" customWidth="1"/>
    <col min="15365" max="15615" width="9.125" style="4"/>
    <col min="15616" max="15616" width="10.75" style="4" bestFit="1" customWidth="1"/>
    <col min="15617" max="15617" width="9" style="4" bestFit="1" customWidth="1"/>
    <col min="15618" max="15618" width="71.25" style="4" bestFit="1" customWidth="1"/>
    <col min="15619" max="15619" width="8.875" style="4" bestFit="1" customWidth="1"/>
    <col min="15620" max="15620" width="11.875" style="4" bestFit="1" customWidth="1"/>
    <col min="15621" max="15871" width="9.125" style="4"/>
    <col min="15872" max="15872" width="10.75" style="4" bestFit="1" customWidth="1"/>
    <col min="15873" max="15873" width="9" style="4" bestFit="1" customWidth="1"/>
    <col min="15874" max="15874" width="71.25" style="4" bestFit="1" customWidth="1"/>
    <col min="15875" max="15875" width="8.875" style="4" bestFit="1" customWidth="1"/>
    <col min="15876" max="15876" width="11.875" style="4" bestFit="1" customWidth="1"/>
    <col min="15877" max="16127" width="9.125" style="4"/>
    <col min="16128" max="16128" width="10.75" style="4" bestFit="1" customWidth="1"/>
    <col min="16129" max="16129" width="9" style="4" bestFit="1" customWidth="1"/>
    <col min="16130" max="16130" width="71.25" style="4" bestFit="1" customWidth="1"/>
    <col min="16131" max="16131" width="8.875" style="4" bestFit="1" customWidth="1"/>
    <col min="16132" max="16132" width="11.875" style="4" bestFit="1" customWidth="1"/>
    <col min="16133" max="16384" width="9.125" style="4"/>
  </cols>
  <sheetData>
    <row r="1" spans="1:12" ht="15" x14ac:dyDescent="0.25">
      <c r="B1" s="91" t="s">
        <v>235</v>
      </c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2" x14ac:dyDescent="0.2">
      <c r="B2" s="51"/>
      <c r="C2" s="51"/>
      <c r="D2" s="51"/>
      <c r="E2" s="51"/>
      <c r="F2" s="51"/>
      <c r="G2" s="51"/>
      <c r="H2" s="51"/>
      <c r="I2" s="51"/>
      <c r="J2" s="51"/>
    </row>
    <row r="3" spans="1:12" x14ac:dyDescent="0.2">
      <c r="A3" s="61" t="s">
        <v>138</v>
      </c>
      <c r="B3" s="4" t="s">
        <v>0</v>
      </c>
      <c r="C3" s="4" t="s">
        <v>1</v>
      </c>
      <c r="D3" s="4" t="s">
        <v>2</v>
      </c>
      <c r="E3" s="4" t="s">
        <v>110</v>
      </c>
    </row>
    <row r="4" spans="1:12" ht="15" x14ac:dyDescent="0.25">
      <c r="A4" s="25"/>
      <c r="B4" s="25" t="s">
        <v>77</v>
      </c>
      <c r="C4" s="57">
        <f>SUM(C5:C6)</f>
        <v>11.32</v>
      </c>
      <c r="D4" s="26"/>
      <c r="E4" s="26"/>
    </row>
    <row r="5" spans="1:12" ht="15" x14ac:dyDescent="0.25">
      <c r="A5" s="49" t="s">
        <v>139</v>
      </c>
      <c r="B5" s="8" t="s">
        <v>78</v>
      </c>
      <c r="C5" s="58">
        <f>'נספח 2- אג"ח'!B7</f>
        <v>0</v>
      </c>
      <c r="D5" s="20">
        <f>C5/$C$30</f>
        <v>0</v>
      </c>
      <c r="E5" s="46">
        <f>C5*1000</f>
        <v>0</v>
      </c>
    </row>
    <row r="6" spans="1:12" ht="15" x14ac:dyDescent="0.25">
      <c r="A6" s="49" t="s">
        <v>140</v>
      </c>
      <c r="B6" s="8" t="s">
        <v>79</v>
      </c>
      <c r="C6" s="58">
        <f>'נספח 2- אג"ח'!B10</f>
        <v>11.32</v>
      </c>
      <c r="D6" s="20">
        <f t="shared" ref="D6:D30" si="0">C6/$C$30</f>
        <v>1.5728719057010496E-4</v>
      </c>
      <c r="E6" s="46">
        <f t="shared" ref="E6:E32" si="1">C6*1000</f>
        <v>11320</v>
      </c>
    </row>
    <row r="7" spans="1:12" ht="15" x14ac:dyDescent="0.25">
      <c r="A7" s="25"/>
      <c r="B7" s="25" t="s">
        <v>80</v>
      </c>
      <c r="C7" s="57">
        <f>SUM(C8:C9)</f>
        <v>2.41</v>
      </c>
      <c r="D7" s="27"/>
      <c r="E7" s="47"/>
    </row>
    <row r="8" spans="1:12" ht="15" x14ac:dyDescent="0.25">
      <c r="A8" s="49" t="s">
        <v>141</v>
      </c>
      <c r="B8" s="8" t="s">
        <v>81</v>
      </c>
      <c r="C8" s="58">
        <f>'נספח 2- אג"ח'!B17</f>
        <v>0</v>
      </c>
      <c r="D8" s="20">
        <f t="shared" si="0"/>
        <v>0</v>
      </c>
      <c r="E8" s="46">
        <f t="shared" si="1"/>
        <v>0</v>
      </c>
    </row>
    <row r="9" spans="1:12" ht="15" x14ac:dyDescent="0.25">
      <c r="A9" s="49" t="s">
        <v>142</v>
      </c>
      <c r="B9" s="8" t="s">
        <v>82</v>
      </c>
      <c r="C9" s="58">
        <f>'נספח 2- אג"ח'!B20</f>
        <v>2.41</v>
      </c>
      <c r="D9" s="20">
        <f t="shared" si="0"/>
        <v>3.3486053822787364E-5</v>
      </c>
      <c r="E9" s="46">
        <f t="shared" si="1"/>
        <v>2410</v>
      </c>
    </row>
    <row r="10" spans="1:12" ht="15" x14ac:dyDescent="0.25">
      <c r="A10" s="25"/>
      <c r="B10" s="25" t="s">
        <v>83</v>
      </c>
      <c r="C10" s="57">
        <f>SUM(C11:C13)</f>
        <v>0</v>
      </c>
      <c r="D10" s="27"/>
      <c r="E10" s="47"/>
    </row>
    <row r="11" spans="1:12" s="23" customFormat="1" ht="15" x14ac:dyDescent="0.25">
      <c r="A11" s="21" t="s">
        <v>143</v>
      </c>
      <c r="B11" s="21" t="s">
        <v>84</v>
      </c>
      <c r="C11" s="59">
        <f>'נספח 2- אג"ח'!B24</f>
        <v>0</v>
      </c>
      <c r="D11" s="22">
        <f t="shared" si="0"/>
        <v>0</v>
      </c>
      <c r="E11" s="46">
        <f t="shared" si="1"/>
        <v>0</v>
      </c>
    </row>
    <row r="12" spans="1:12" s="23" customFormat="1" ht="15" x14ac:dyDescent="0.25">
      <c r="A12" s="21" t="s">
        <v>144</v>
      </c>
      <c r="B12" s="21" t="s">
        <v>85</v>
      </c>
      <c r="C12" s="59">
        <v>0</v>
      </c>
      <c r="D12" s="22">
        <f t="shared" si="0"/>
        <v>0</v>
      </c>
      <c r="E12" s="46">
        <f t="shared" si="1"/>
        <v>0</v>
      </c>
    </row>
    <row r="13" spans="1:12" s="23" customFormat="1" ht="15" x14ac:dyDescent="0.25">
      <c r="A13" s="21" t="s">
        <v>145</v>
      </c>
      <c r="B13" s="21" t="s">
        <v>86</v>
      </c>
      <c r="C13" s="59">
        <f>'נספח 2- אג"ח'!B29</f>
        <v>0</v>
      </c>
      <c r="D13" s="22">
        <f t="shared" si="0"/>
        <v>0</v>
      </c>
      <c r="E13" s="46">
        <f t="shared" si="1"/>
        <v>0</v>
      </c>
    </row>
    <row r="14" spans="1:12" s="23" customFormat="1" ht="15" x14ac:dyDescent="0.25">
      <c r="A14" s="25"/>
      <c r="B14" s="25" t="s">
        <v>87</v>
      </c>
      <c r="C14" s="57">
        <f>SUM(C15:C22)</f>
        <v>0</v>
      </c>
      <c r="D14" s="27"/>
      <c r="E14" s="47"/>
    </row>
    <row r="15" spans="1:12" s="23" customFormat="1" ht="15" x14ac:dyDescent="0.25">
      <c r="A15" s="21" t="s">
        <v>146</v>
      </c>
      <c r="B15" s="21" t="s">
        <v>88</v>
      </c>
      <c r="C15" s="59">
        <f>'נספח 3-אג"ח'!B6</f>
        <v>0</v>
      </c>
      <c r="D15" s="22">
        <f t="shared" si="0"/>
        <v>0</v>
      </c>
      <c r="E15" s="46">
        <f t="shared" si="1"/>
        <v>0</v>
      </c>
    </row>
    <row r="16" spans="1:12" s="23" customFormat="1" ht="15" x14ac:dyDescent="0.25">
      <c r="A16" s="21" t="s">
        <v>147</v>
      </c>
      <c r="B16" s="21" t="s">
        <v>89</v>
      </c>
      <c r="C16" s="59">
        <f>'נספח 3-אג"ח'!B9</f>
        <v>0</v>
      </c>
      <c r="D16" s="22">
        <f t="shared" si="0"/>
        <v>0</v>
      </c>
      <c r="E16" s="46">
        <f t="shared" si="1"/>
        <v>0</v>
      </c>
    </row>
    <row r="17" spans="1:5" s="23" customFormat="1" ht="15" x14ac:dyDescent="0.25">
      <c r="A17" s="21" t="s">
        <v>148</v>
      </c>
      <c r="B17" s="21" t="s">
        <v>90</v>
      </c>
      <c r="C17" s="59">
        <f>'נספח 3-אג"ח'!B14</f>
        <v>0</v>
      </c>
      <c r="D17" s="22">
        <f t="shared" si="0"/>
        <v>0</v>
      </c>
      <c r="E17" s="46">
        <f t="shared" si="1"/>
        <v>0</v>
      </c>
    </row>
    <row r="18" spans="1:5" s="23" customFormat="1" ht="15" x14ac:dyDescent="0.25">
      <c r="A18" s="21" t="s">
        <v>149</v>
      </c>
      <c r="B18" s="21" t="s">
        <v>91</v>
      </c>
      <c r="C18" s="59">
        <f>'נספח 3-אג"ח'!B19</f>
        <v>0</v>
      </c>
      <c r="D18" s="22">
        <f t="shared" si="0"/>
        <v>0</v>
      </c>
      <c r="E18" s="46">
        <f t="shared" si="1"/>
        <v>0</v>
      </c>
    </row>
    <row r="19" spans="1:5" s="23" customFormat="1" ht="15" x14ac:dyDescent="0.25">
      <c r="A19" s="21" t="s">
        <v>150</v>
      </c>
      <c r="B19" s="21" t="s">
        <v>92</v>
      </c>
      <c r="C19" s="59">
        <f>'נספח 3-אג"ח'!B33</f>
        <v>0</v>
      </c>
      <c r="D19" s="22">
        <f t="shared" si="0"/>
        <v>0</v>
      </c>
      <c r="E19" s="46">
        <f t="shared" si="1"/>
        <v>0</v>
      </c>
    </row>
    <row r="20" spans="1:5" s="23" customFormat="1" ht="15" x14ac:dyDescent="0.25">
      <c r="A20" s="21" t="s">
        <v>151</v>
      </c>
      <c r="B20" s="21" t="s">
        <v>93</v>
      </c>
      <c r="C20" s="59">
        <f>'נספח 3-אג"ח'!B36</f>
        <v>0</v>
      </c>
      <c r="D20" s="22">
        <f t="shared" si="0"/>
        <v>0</v>
      </c>
      <c r="E20" s="46">
        <f t="shared" si="1"/>
        <v>0</v>
      </c>
    </row>
    <row r="21" spans="1:5" s="23" customFormat="1" ht="15" x14ac:dyDescent="0.25">
      <c r="A21" s="21" t="s">
        <v>152</v>
      </c>
      <c r="B21" s="21" t="s">
        <v>94</v>
      </c>
      <c r="C21" s="59">
        <f>'נספח 3-אג"ח'!B23</f>
        <v>0</v>
      </c>
      <c r="D21" s="22">
        <f t="shared" si="0"/>
        <v>0</v>
      </c>
      <c r="E21" s="46">
        <f t="shared" si="1"/>
        <v>0</v>
      </c>
    </row>
    <row r="22" spans="1:5" s="23" customFormat="1" ht="15" x14ac:dyDescent="0.25">
      <c r="A22" s="21" t="s">
        <v>153</v>
      </c>
      <c r="B22" s="21" t="s">
        <v>95</v>
      </c>
      <c r="C22" s="59">
        <f>'נספח 3-אג"ח'!B26</f>
        <v>0</v>
      </c>
      <c r="D22" s="22">
        <f t="shared" si="0"/>
        <v>0</v>
      </c>
      <c r="E22" s="46">
        <f t="shared" si="1"/>
        <v>0</v>
      </c>
    </row>
    <row r="23" spans="1:5" s="23" customFormat="1" ht="15" x14ac:dyDescent="0.25">
      <c r="A23" s="25"/>
      <c r="B23" s="25" t="s">
        <v>96</v>
      </c>
      <c r="C23" s="57">
        <f>SUM(C24:C25)</f>
        <v>0</v>
      </c>
      <c r="D23" s="27"/>
      <c r="E23" s="47"/>
    </row>
    <row r="24" spans="1:5" s="23" customFormat="1" ht="15" x14ac:dyDescent="0.25">
      <c r="A24" s="21" t="s">
        <v>154</v>
      </c>
      <c r="B24" s="21" t="s">
        <v>97</v>
      </c>
      <c r="C24" s="59">
        <f>'נספח 2- אג"ח'!B33</f>
        <v>0</v>
      </c>
      <c r="D24" s="22">
        <f t="shared" si="0"/>
        <v>0</v>
      </c>
      <c r="E24" s="46">
        <f t="shared" si="1"/>
        <v>0</v>
      </c>
    </row>
    <row r="25" spans="1:5" s="23" customFormat="1" ht="15" x14ac:dyDescent="0.25">
      <c r="A25" s="21" t="s">
        <v>155</v>
      </c>
      <c r="B25" s="21" t="s">
        <v>98</v>
      </c>
      <c r="C25" s="59">
        <f>'נספח 2- אג"ח'!B37</f>
        <v>0</v>
      </c>
      <c r="D25" s="22">
        <f t="shared" si="0"/>
        <v>0</v>
      </c>
      <c r="E25" s="46">
        <f t="shared" si="1"/>
        <v>0</v>
      </c>
    </row>
    <row r="26" spans="1:5" s="23" customFormat="1" ht="15" x14ac:dyDescent="0.25">
      <c r="A26" s="25" t="s">
        <v>156</v>
      </c>
      <c r="B26" s="25" t="s">
        <v>99</v>
      </c>
      <c r="C26" s="30">
        <f>C4+C7+C10+C14+C23</f>
        <v>13.73</v>
      </c>
      <c r="D26" s="27">
        <f t="shared" si="0"/>
        <v>1.907732443928923E-4</v>
      </c>
      <c r="E26" s="47">
        <f t="shared" si="1"/>
        <v>13730</v>
      </c>
    </row>
    <row r="27" spans="1:5" ht="15" x14ac:dyDescent="0.25">
      <c r="A27" s="25"/>
      <c r="B27" s="8" t="s">
        <v>100</v>
      </c>
      <c r="C27" s="32"/>
      <c r="D27" s="20"/>
      <c r="E27" s="46">
        <f t="shared" si="1"/>
        <v>0</v>
      </c>
    </row>
    <row r="28" spans="1:5" ht="19.5" customHeight="1" x14ac:dyDescent="0.25">
      <c r="A28" s="49" t="s">
        <v>157</v>
      </c>
      <c r="B28" s="81" t="s">
        <v>255</v>
      </c>
      <c r="C28" s="20">
        <f>SUM(C11,C15:C22,C25)/C34</f>
        <v>0</v>
      </c>
      <c r="D28" s="20">
        <f t="shared" si="0"/>
        <v>0</v>
      </c>
      <c r="E28" s="20">
        <f>SUM(E11,E15:E22,E25)/E32</f>
        <v>0</v>
      </c>
    </row>
    <row r="29" spans="1:5" ht="15" x14ac:dyDescent="0.25">
      <c r="A29" s="49" t="s">
        <v>158</v>
      </c>
      <c r="B29" s="81" t="s">
        <v>256</v>
      </c>
      <c r="C29" s="20">
        <f>C26/C34</f>
        <v>1.8319651269093175E-4</v>
      </c>
      <c r="D29" s="20">
        <f t="shared" si="0"/>
        <v>2.5454474207948083E-9</v>
      </c>
      <c r="E29" s="20">
        <f>E26/E32</f>
        <v>1.7619862515536568E-4</v>
      </c>
    </row>
    <row r="30" spans="1:5" ht="15" x14ac:dyDescent="0.25">
      <c r="A30" s="49"/>
      <c r="B30" s="8" t="s">
        <v>50</v>
      </c>
      <c r="C30" s="33">
        <f>'נספח 3-אג"ח'!B39</f>
        <v>71970.259999999995</v>
      </c>
      <c r="D30" s="20">
        <f t="shared" si="0"/>
        <v>1</v>
      </c>
      <c r="E30" s="46">
        <f t="shared" si="1"/>
        <v>71970260</v>
      </c>
    </row>
    <row r="31" spans="1:5" ht="15" x14ac:dyDescent="0.25">
      <c r="A31" s="49"/>
      <c r="B31" s="13"/>
      <c r="C31" s="74"/>
      <c r="D31" s="5"/>
      <c r="E31" s="46">
        <f t="shared" si="1"/>
        <v>0</v>
      </c>
    </row>
    <row r="32" spans="1:5" ht="15" x14ac:dyDescent="0.25">
      <c r="A32" s="49" t="s">
        <v>159</v>
      </c>
      <c r="B32" s="13" t="s">
        <v>104</v>
      </c>
      <c r="C32" s="33">
        <f>77923423/1000</f>
        <v>77923.422999999995</v>
      </c>
      <c r="E32" s="46">
        <f t="shared" si="1"/>
        <v>77923423</v>
      </c>
    </row>
    <row r="33" spans="1:3" x14ac:dyDescent="0.2">
      <c r="C33" s="23"/>
    </row>
    <row r="34" spans="1:3" ht="15" x14ac:dyDescent="0.25">
      <c r="A34" s="63" t="s">
        <v>159</v>
      </c>
      <c r="B34" s="63" t="s">
        <v>191</v>
      </c>
      <c r="C34" s="76">
        <f>AVERAGE(C30:C32)</f>
        <v>74946.841499999995</v>
      </c>
    </row>
    <row r="35" spans="1:3" x14ac:dyDescent="0.2">
      <c r="C35" s="23"/>
    </row>
    <row r="36" spans="1:3" x14ac:dyDescent="0.2">
      <c r="C36" s="23"/>
    </row>
    <row r="37" spans="1:3" x14ac:dyDescent="0.2">
      <c r="C37" s="23"/>
    </row>
    <row r="38" spans="1:3" x14ac:dyDescent="0.2">
      <c r="C38" s="23"/>
    </row>
  </sheetData>
  <mergeCells count="1">
    <mergeCell ref="B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rightToLeft="1" zoomScale="80" zoomScaleNormal="80" workbookViewId="0">
      <selection activeCell="B49" sqref="B49"/>
    </sheetView>
  </sheetViews>
  <sheetFormatPr defaultColWidth="9.125" defaultRowHeight="14.25" x14ac:dyDescent="0.2"/>
  <cols>
    <col min="1" max="1" width="9.125" style="4"/>
    <col min="2" max="2" width="115" style="4" customWidth="1"/>
    <col min="3" max="3" width="13.625" style="4" bestFit="1" customWidth="1"/>
    <col min="4" max="4" width="11.875" style="4" bestFit="1" customWidth="1"/>
    <col min="5" max="5" width="14.5" style="4" bestFit="1" customWidth="1"/>
    <col min="6" max="255" width="9.125" style="4"/>
    <col min="256" max="256" width="10.75" style="4" bestFit="1" customWidth="1"/>
    <col min="257" max="257" width="9" style="4" bestFit="1" customWidth="1"/>
    <col min="258" max="258" width="71.25" style="4" bestFit="1" customWidth="1"/>
    <col min="259" max="259" width="9.125" style="4"/>
    <col min="260" max="260" width="11.875" style="4" bestFit="1" customWidth="1"/>
    <col min="261" max="511" width="9.125" style="4"/>
    <col min="512" max="512" width="10.75" style="4" bestFit="1" customWidth="1"/>
    <col min="513" max="513" width="9" style="4" bestFit="1" customWidth="1"/>
    <col min="514" max="514" width="71.25" style="4" bestFit="1" customWidth="1"/>
    <col min="515" max="515" width="9.125" style="4"/>
    <col min="516" max="516" width="11.875" style="4" bestFit="1" customWidth="1"/>
    <col min="517" max="767" width="9.125" style="4"/>
    <col min="768" max="768" width="10.75" style="4" bestFit="1" customWidth="1"/>
    <col min="769" max="769" width="9" style="4" bestFit="1" customWidth="1"/>
    <col min="770" max="770" width="71.25" style="4" bestFit="1" customWidth="1"/>
    <col min="771" max="771" width="9.125" style="4"/>
    <col min="772" max="772" width="11.875" style="4" bestFit="1" customWidth="1"/>
    <col min="773" max="1023" width="9.125" style="4"/>
    <col min="1024" max="1024" width="10.75" style="4" bestFit="1" customWidth="1"/>
    <col min="1025" max="1025" width="9" style="4" bestFit="1" customWidth="1"/>
    <col min="1026" max="1026" width="71.25" style="4" bestFit="1" customWidth="1"/>
    <col min="1027" max="1027" width="9.125" style="4"/>
    <col min="1028" max="1028" width="11.875" style="4" bestFit="1" customWidth="1"/>
    <col min="1029" max="1279" width="9.125" style="4"/>
    <col min="1280" max="1280" width="10.75" style="4" bestFit="1" customWidth="1"/>
    <col min="1281" max="1281" width="9" style="4" bestFit="1" customWidth="1"/>
    <col min="1282" max="1282" width="71.25" style="4" bestFit="1" customWidth="1"/>
    <col min="1283" max="1283" width="9.125" style="4"/>
    <col min="1284" max="1284" width="11.875" style="4" bestFit="1" customWidth="1"/>
    <col min="1285" max="1535" width="9.125" style="4"/>
    <col min="1536" max="1536" width="10.75" style="4" bestFit="1" customWidth="1"/>
    <col min="1537" max="1537" width="9" style="4" bestFit="1" customWidth="1"/>
    <col min="1538" max="1538" width="71.25" style="4" bestFit="1" customWidth="1"/>
    <col min="1539" max="1539" width="9.125" style="4"/>
    <col min="1540" max="1540" width="11.875" style="4" bestFit="1" customWidth="1"/>
    <col min="1541" max="1791" width="9.125" style="4"/>
    <col min="1792" max="1792" width="10.75" style="4" bestFit="1" customWidth="1"/>
    <col min="1793" max="1793" width="9" style="4" bestFit="1" customWidth="1"/>
    <col min="1794" max="1794" width="71.25" style="4" bestFit="1" customWidth="1"/>
    <col min="1795" max="1795" width="9.125" style="4"/>
    <col min="1796" max="1796" width="11.875" style="4" bestFit="1" customWidth="1"/>
    <col min="1797" max="2047" width="9.125" style="4"/>
    <col min="2048" max="2048" width="10.75" style="4" bestFit="1" customWidth="1"/>
    <col min="2049" max="2049" width="9" style="4" bestFit="1" customWidth="1"/>
    <col min="2050" max="2050" width="71.25" style="4" bestFit="1" customWidth="1"/>
    <col min="2051" max="2051" width="9.125" style="4"/>
    <col min="2052" max="2052" width="11.875" style="4" bestFit="1" customWidth="1"/>
    <col min="2053" max="2303" width="9.125" style="4"/>
    <col min="2304" max="2304" width="10.75" style="4" bestFit="1" customWidth="1"/>
    <col min="2305" max="2305" width="9" style="4" bestFit="1" customWidth="1"/>
    <col min="2306" max="2306" width="71.25" style="4" bestFit="1" customWidth="1"/>
    <col min="2307" max="2307" width="9.125" style="4"/>
    <col min="2308" max="2308" width="11.875" style="4" bestFit="1" customWidth="1"/>
    <col min="2309" max="2559" width="9.125" style="4"/>
    <col min="2560" max="2560" width="10.75" style="4" bestFit="1" customWidth="1"/>
    <col min="2561" max="2561" width="9" style="4" bestFit="1" customWidth="1"/>
    <col min="2562" max="2562" width="71.25" style="4" bestFit="1" customWidth="1"/>
    <col min="2563" max="2563" width="9.125" style="4"/>
    <col min="2564" max="2564" width="11.875" style="4" bestFit="1" customWidth="1"/>
    <col min="2565" max="2815" width="9.125" style="4"/>
    <col min="2816" max="2816" width="10.75" style="4" bestFit="1" customWidth="1"/>
    <col min="2817" max="2817" width="9" style="4" bestFit="1" customWidth="1"/>
    <col min="2818" max="2818" width="71.25" style="4" bestFit="1" customWidth="1"/>
    <col min="2819" max="2819" width="9.125" style="4"/>
    <col min="2820" max="2820" width="11.875" style="4" bestFit="1" customWidth="1"/>
    <col min="2821" max="3071" width="9.125" style="4"/>
    <col min="3072" max="3072" width="10.75" style="4" bestFit="1" customWidth="1"/>
    <col min="3073" max="3073" width="9" style="4" bestFit="1" customWidth="1"/>
    <col min="3074" max="3074" width="71.25" style="4" bestFit="1" customWidth="1"/>
    <col min="3075" max="3075" width="9.125" style="4"/>
    <col min="3076" max="3076" width="11.875" style="4" bestFit="1" customWidth="1"/>
    <col min="3077" max="3327" width="9.125" style="4"/>
    <col min="3328" max="3328" width="10.75" style="4" bestFit="1" customWidth="1"/>
    <col min="3329" max="3329" width="9" style="4" bestFit="1" customWidth="1"/>
    <col min="3330" max="3330" width="71.25" style="4" bestFit="1" customWidth="1"/>
    <col min="3331" max="3331" width="9.125" style="4"/>
    <col min="3332" max="3332" width="11.875" style="4" bestFit="1" customWidth="1"/>
    <col min="3333" max="3583" width="9.125" style="4"/>
    <col min="3584" max="3584" width="10.75" style="4" bestFit="1" customWidth="1"/>
    <col min="3585" max="3585" width="9" style="4" bestFit="1" customWidth="1"/>
    <col min="3586" max="3586" width="71.25" style="4" bestFit="1" customWidth="1"/>
    <col min="3587" max="3587" width="9.125" style="4"/>
    <col min="3588" max="3588" width="11.875" style="4" bestFit="1" customWidth="1"/>
    <col min="3589" max="3839" width="9.125" style="4"/>
    <col min="3840" max="3840" width="10.75" style="4" bestFit="1" customWidth="1"/>
    <col min="3841" max="3841" width="9" style="4" bestFit="1" customWidth="1"/>
    <col min="3842" max="3842" width="71.25" style="4" bestFit="1" customWidth="1"/>
    <col min="3843" max="3843" width="9.125" style="4"/>
    <col min="3844" max="3844" width="11.875" style="4" bestFit="1" customWidth="1"/>
    <col min="3845" max="4095" width="9.125" style="4"/>
    <col min="4096" max="4096" width="10.75" style="4" bestFit="1" customWidth="1"/>
    <col min="4097" max="4097" width="9" style="4" bestFit="1" customWidth="1"/>
    <col min="4098" max="4098" width="71.25" style="4" bestFit="1" customWidth="1"/>
    <col min="4099" max="4099" width="9.125" style="4"/>
    <col min="4100" max="4100" width="11.875" style="4" bestFit="1" customWidth="1"/>
    <col min="4101" max="4351" width="9.125" style="4"/>
    <col min="4352" max="4352" width="10.75" style="4" bestFit="1" customWidth="1"/>
    <col min="4353" max="4353" width="9" style="4" bestFit="1" customWidth="1"/>
    <col min="4354" max="4354" width="71.25" style="4" bestFit="1" customWidth="1"/>
    <col min="4355" max="4355" width="9.125" style="4"/>
    <col min="4356" max="4356" width="11.875" style="4" bestFit="1" customWidth="1"/>
    <col min="4357" max="4607" width="9.125" style="4"/>
    <col min="4608" max="4608" width="10.75" style="4" bestFit="1" customWidth="1"/>
    <col min="4609" max="4609" width="9" style="4" bestFit="1" customWidth="1"/>
    <col min="4610" max="4610" width="71.25" style="4" bestFit="1" customWidth="1"/>
    <col min="4611" max="4611" width="9.125" style="4"/>
    <col min="4612" max="4612" width="11.875" style="4" bestFit="1" customWidth="1"/>
    <col min="4613" max="4863" width="9.125" style="4"/>
    <col min="4864" max="4864" width="10.75" style="4" bestFit="1" customWidth="1"/>
    <col min="4865" max="4865" width="9" style="4" bestFit="1" customWidth="1"/>
    <col min="4866" max="4866" width="71.25" style="4" bestFit="1" customWidth="1"/>
    <col min="4867" max="4867" width="9.125" style="4"/>
    <col min="4868" max="4868" width="11.875" style="4" bestFit="1" customWidth="1"/>
    <col min="4869" max="5119" width="9.125" style="4"/>
    <col min="5120" max="5120" width="10.75" style="4" bestFit="1" customWidth="1"/>
    <col min="5121" max="5121" width="9" style="4" bestFit="1" customWidth="1"/>
    <col min="5122" max="5122" width="71.25" style="4" bestFit="1" customWidth="1"/>
    <col min="5123" max="5123" width="9.125" style="4"/>
    <col min="5124" max="5124" width="11.875" style="4" bestFit="1" customWidth="1"/>
    <col min="5125" max="5375" width="9.125" style="4"/>
    <col min="5376" max="5376" width="10.75" style="4" bestFit="1" customWidth="1"/>
    <col min="5377" max="5377" width="9" style="4" bestFit="1" customWidth="1"/>
    <col min="5378" max="5378" width="71.25" style="4" bestFit="1" customWidth="1"/>
    <col min="5379" max="5379" width="9.125" style="4"/>
    <col min="5380" max="5380" width="11.875" style="4" bestFit="1" customWidth="1"/>
    <col min="5381" max="5631" width="9.125" style="4"/>
    <col min="5632" max="5632" width="10.75" style="4" bestFit="1" customWidth="1"/>
    <col min="5633" max="5633" width="9" style="4" bestFit="1" customWidth="1"/>
    <col min="5634" max="5634" width="71.25" style="4" bestFit="1" customWidth="1"/>
    <col min="5635" max="5635" width="9.125" style="4"/>
    <col min="5636" max="5636" width="11.875" style="4" bestFit="1" customWidth="1"/>
    <col min="5637" max="5887" width="9.125" style="4"/>
    <col min="5888" max="5888" width="10.75" style="4" bestFit="1" customWidth="1"/>
    <col min="5889" max="5889" width="9" style="4" bestFit="1" customWidth="1"/>
    <col min="5890" max="5890" width="71.25" style="4" bestFit="1" customWidth="1"/>
    <col min="5891" max="5891" width="9.125" style="4"/>
    <col min="5892" max="5892" width="11.875" style="4" bestFit="1" customWidth="1"/>
    <col min="5893" max="6143" width="9.125" style="4"/>
    <col min="6144" max="6144" width="10.75" style="4" bestFit="1" customWidth="1"/>
    <col min="6145" max="6145" width="9" style="4" bestFit="1" customWidth="1"/>
    <col min="6146" max="6146" width="71.25" style="4" bestFit="1" customWidth="1"/>
    <col min="6147" max="6147" width="9.125" style="4"/>
    <col min="6148" max="6148" width="11.875" style="4" bestFit="1" customWidth="1"/>
    <col min="6149" max="6399" width="9.125" style="4"/>
    <col min="6400" max="6400" width="10.75" style="4" bestFit="1" customWidth="1"/>
    <col min="6401" max="6401" width="9" style="4" bestFit="1" customWidth="1"/>
    <col min="6402" max="6402" width="71.25" style="4" bestFit="1" customWidth="1"/>
    <col min="6403" max="6403" width="9.125" style="4"/>
    <col min="6404" max="6404" width="11.875" style="4" bestFit="1" customWidth="1"/>
    <col min="6405" max="6655" width="9.125" style="4"/>
    <col min="6656" max="6656" width="10.75" style="4" bestFit="1" customWidth="1"/>
    <col min="6657" max="6657" width="9" style="4" bestFit="1" customWidth="1"/>
    <col min="6658" max="6658" width="71.25" style="4" bestFit="1" customWidth="1"/>
    <col min="6659" max="6659" width="9.125" style="4"/>
    <col min="6660" max="6660" width="11.875" style="4" bestFit="1" customWidth="1"/>
    <col min="6661" max="6911" width="9.125" style="4"/>
    <col min="6912" max="6912" width="10.75" style="4" bestFit="1" customWidth="1"/>
    <col min="6913" max="6913" width="9" style="4" bestFit="1" customWidth="1"/>
    <col min="6914" max="6914" width="71.25" style="4" bestFit="1" customWidth="1"/>
    <col min="6915" max="6915" width="9.125" style="4"/>
    <col min="6916" max="6916" width="11.875" style="4" bestFit="1" customWidth="1"/>
    <col min="6917" max="7167" width="9.125" style="4"/>
    <col min="7168" max="7168" width="10.75" style="4" bestFit="1" customWidth="1"/>
    <col min="7169" max="7169" width="9" style="4" bestFit="1" customWidth="1"/>
    <col min="7170" max="7170" width="71.25" style="4" bestFit="1" customWidth="1"/>
    <col min="7171" max="7171" width="9.125" style="4"/>
    <col min="7172" max="7172" width="11.875" style="4" bestFit="1" customWidth="1"/>
    <col min="7173" max="7423" width="9.125" style="4"/>
    <col min="7424" max="7424" width="10.75" style="4" bestFit="1" customWidth="1"/>
    <col min="7425" max="7425" width="9" style="4" bestFit="1" customWidth="1"/>
    <col min="7426" max="7426" width="71.25" style="4" bestFit="1" customWidth="1"/>
    <col min="7427" max="7427" width="9.125" style="4"/>
    <col min="7428" max="7428" width="11.875" style="4" bestFit="1" customWidth="1"/>
    <col min="7429" max="7679" width="9.125" style="4"/>
    <col min="7680" max="7680" width="10.75" style="4" bestFit="1" customWidth="1"/>
    <col min="7681" max="7681" width="9" style="4" bestFit="1" customWidth="1"/>
    <col min="7682" max="7682" width="71.25" style="4" bestFit="1" customWidth="1"/>
    <col min="7683" max="7683" width="9.125" style="4"/>
    <col min="7684" max="7684" width="11.875" style="4" bestFit="1" customWidth="1"/>
    <col min="7685" max="7935" width="9.125" style="4"/>
    <col min="7936" max="7936" width="10.75" style="4" bestFit="1" customWidth="1"/>
    <col min="7937" max="7937" width="9" style="4" bestFit="1" customWidth="1"/>
    <col min="7938" max="7938" width="71.25" style="4" bestFit="1" customWidth="1"/>
    <col min="7939" max="7939" width="9.125" style="4"/>
    <col min="7940" max="7940" width="11.875" style="4" bestFit="1" customWidth="1"/>
    <col min="7941" max="8191" width="9.125" style="4"/>
    <col min="8192" max="8192" width="10.75" style="4" bestFit="1" customWidth="1"/>
    <col min="8193" max="8193" width="9" style="4" bestFit="1" customWidth="1"/>
    <col min="8194" max="8194" width="71.25" style="4" bestFit="1" customWidth="1"/>
    <col min="8195" max="8195" width="9.125" style="4"/>
    <col min="8196" max="8196" width="11.875" style="4" bestFit="1" customWidth="1"/>
    <col min="8197" max="8447" width="9.125" style="4"/>
    <col min="8448" max="8448" width="10.75" style="4" bestFit="1" customWidth="1"/>
    <col min="8449" max="8449" width="9" style="4" bestFit="1" customWidth="1"/>
    <col min="8450" max="8450" width="71.25" style="4" bestFit="1" customWidth="1"/>
    <col min="8451" max="8451" width="9.125" style="4"/>
    <col min="8452" max="8452" width="11.875" style="4" bestFit="1" customWidth="1"/>
    <col min="8453" max="8703" width="9.125" style="4"/>
    <col min="8704" max="8704" width="10.75" style="4" bestFit="1" customWidth="1"/>
    <col min="8705" max="8705" width="9" style="4" bestFit="1" customWidth="1"/>
    <col min="8706" max="8706" width="71.25" style="4" bestFit="1" customWidth="1"/>
    <col min="8707" max="8707" width="9.125" style="4"/>
    <col min="8708" max="8708" width="11.875" style="4" bestFit="1" customWidth="1"/>
    <col min="8709" max="8959" width="9.125" style="4"/>
    <col min="8960" max="8960" width="10.75" style="4" bestFit="1" customWidth="1"/>
    <col min="8961" max="8961" width="9" style="4" bestFit="1" customWidth="1"/>
    <col min="8962" max="8962" width="71.25" style="4" bestFit="1" customWidth="1"/>
    <col min="8963" max="8963" width="9.125" style="4"/>
    <col min="8964" max="8964" width="11.875" style="4" bestFit="1" customWidth="1"/>
    <col min="8965" max="9215" width="9.125" style="4"/>
    <col min="9216" max="9216" width="10.75" style="4" bestFit="1" customWidth="1"/>
    <col min="9217" max="9217" width="9" style="4" bestFit="1" customWidth="1"/>
    <col min="9218" max="9218" width="71.25" style="4" bestFit="1" customWidth="1"/>
    <col min="9219" max="9219" width="9.125" style="4"/>
    <col min="9220" max="9220" width="11.875" style="4" bestFit="1" customWidth="1"/>
    <col min="9221" max="9471" width="9.125" style="4"/>
    <col min="9472" max="9472" width="10.75" style="4" bestFit="1" customWidth="1"/>
    <col min="9473" max="9473" width="9" style="4" bestFit="1" customWidth="1"/>
    <col min="9474" max="9474" width="71.25" style="4" bestFit="1" customWidth="1"/>
    <col min="9475" max="9475" width="9.125" style="4"/>
    <col min="9476" max="9476" width="11.875" style="4" bestFit="1" customWidth="1"/>
    <col min="9477" max="9727" width="9.125" style="4"/>
    <col min="9728" max="9728" width="10.75" style="4" bestFit="1" customWidth="1"/>
    <col min="9729" max="9729" width="9" style="4" bestFit="1" customWidth="1"/>
    <col min="9730" max="9730" width="71.25" style="4" bestFit="1" customWidth="1"/>
    <col min="9731" max="9731" width="9.125" style="4"/>
    <col min="9732" max="9732" width="11.875" style="4" bestFit="1" customWidth="1"/>
    <col min="9733" max="9983" width="9.125" style="4"/>
    <col min="9984" max="9984" width="10.75" style="4" bestFit="1" customWidth="1"/>
    <col min="9985" max="9985" width="9" style="4" bestFit="1" customWidth="1"/>
    <col min="9986" max="9986" width="71.25" style="4" bestFit="1" customWidth="1"/>
    <col min="9987" max="9987" width="9.125" style="4"/>
    <col min="9988" max="9988" width="11.875" style="4" bestFit="1" customWidth="1"/>
    <col min="9989" max="10239" width="9.125" style="4"/>
    <col min="10240" max="10240" width="10.75" style="4" bestFit="1" customWidth="1"/>
    <col min="10241" max="10241" width="9" style="4" bestFit="1" customWidth="1"/>
    <col min="10242" max="10242" width="71.25" style="4" bestFit="1" customWidth="1"/>
    <col min="10243" max="10243" width="9.125" style="4"/>
    <col min="10244" max="10244" width="11.875" style="4" bestFit="1" customWidth="1"/>
    <col min="10245" max="10495" width="9.125" style="4"/>
    <col min="10496" max="10496" width="10.75" style="4" bestFit="1" customWidth="1"/>
    <col min="10497" max="10497" width="9" style="4" bestFit="1" customWidth="1"/>
    <col min="10498" max="10498" width="71.25" style="4" bestFit="1" customWidth="1"/>
    <col min="10499" max="10499" width="9.125" style="4"/>
    <col min="10500" max="10500" width="11.875" style="4" bestFit="1" customWidth="1"/>
    <col min="10501" max="10751" width="9.125" style="4"/>
    <col min="10752" max="10752" width="10.75" style="4" bestFit="1" customWidth="1"/>
    <col min="10753" max="10753" width="9" style="4" bestFit="1" customWidth="1"/>
    <col min="10754" max="10754" width="71.25" style="4" bestFit="1" customWidth="1"/>
    <col min="10755" max="10755" width="9.125" style="4"/>
    <col min="10756" max="10756" width="11.875" style="4" bestFit="1" customWidth="1"/>
    <col min="10757" max="11007" width="9.125" style="4"/>
    <col min="11008" max="11008" width="10.75" style="4" bestFit="1" customWidth="1"/>
    <col min="11009" max="11009" width="9" style="4" bestFit="1" customWidth="1"/>
    <col min="11010" max="11010" width="71.25" style="4" bestFit="1" customWidth="1"/>
    <col min="11011" max="11011" width="9.125" style="4"/>
    <col min="11012" max="11012" width="11.875" style="4" bestFit="1" customWidth="1"/>
    <col min="11013" max="11263" width="9.125" style="4"/>
    <col min="11264" max="11264" width="10.75" style="4" bestFit="1" customWidth="1"/>
    <col min="11265" max="11265" width="9" style="4" bestFit="1" customWidth="1"/>
    <col min="11266" max="11266" width="71.25" style="4" bestFit="1" customWidth="1"/>
    <col min="11267" max="11267" width="9.125" style="4"/>
    <col min="11268" max="11268" width="11.875" style="4" bestFit="1" customWidth="1"/>
    <col min="11269" max="11519" width="9.125" style="4"/>
    <col min="11520" max="11520" width="10.75" style="4" bestFit="1" customWidth="1"/>
    <col min="11521" max="11521" width="9" style="4" bestFit="1" customWidth="1"/>
    <col min="11522" max="11522" width="71.25" style="4" bestFit="1" customWidth="1"/>
    <col min="11523" max="11523" width="9.125" style="4"/>
    <col min="11524" max="11524" width="11.875" style="4" bestFit="1" customWidth="1"/>
    <col min="11525" max="11775" width="9.125" style="4"/>
    <col min="11776" max="11776" width="10.75" style="4" bestFit="1" customWidth="1"/>
    <col min="11777" max="11777" width="9" style="4" bestFit="1" customWidth="1"/>
    <col min="11778" max="11778" width="71.25" style="4" bestFit="1" customWidth="1"/>
    <col min="11779" max="11779" width="9.125" style="4"/>
    <col min="11780" max="11780" width="11.875" style="4" bestFit="1" customWidth="1"/>
    <col min="11781" max="12031" width="9.125" style="4"/>
    <col min="12032" max="12032" width="10.75" style="4" bestFit="1" customWidth="1"/>
    <col min="12033" max="12033" width="9" style="4" bestFit="1" customWidth="1"/>
    <col min="12034" max="12034" width="71.25" style="4" bestFit="1" customWidth="1"/>
    <col min="12035" max="12035" width="9.125" style="4"/>
    <col min="12036" max="12036" width="11.875" style="4" bestFit="1" customWidth="1"/>
    <col min="12037" max="12287" width="9.125" style="4"/>
    <col min="12288" max="12288" width="10.75" style="4" bestFit="1" customWidth="1"/>
    <col min="12289" max="12289" width="9" style="4" bestFit="1" customWidth="1"/>
    <col min="12290" max="12290" width="71.25" style="4" bestFit="1" customWidth="1"/>
    <col min="12291" max="12291" width="9.125" style="4"/>
    <col min="12292" max="12292" width="11.875" style="4" bestFit="1" customWidth="1"/>
    <col min="12293" max="12543" width="9.125" style="4"/>
    <col min="12544" max="12544" width="10.75" style="4" bestFit="1" customWidth="1"/>
    <col min="12545" max="12545" width="9" style="4" bestFit="1" customWidth="1"/>
    <col min="12546" max="12546" width="71.25" style="4" bestFit="1" customWidth="1"/>
    <col min="12547" max="12547" width="9.125" style="4"/>
    <col min="12548" max="12548" width="11.875" style="4" bestFit="1" customWidth="1"/>
    <col min="12549" max="12799" width="9.125" style="4"/>
    <col min="12800" max="12800" width="10.75" style="4" bestFit="1" customWidth="1"/>
    <col min="12801" max="12801" width="9" style="4" bestFit="1" customWidth="1"/>
    <col min="12802" max="12802" width="71.25" style="4" bestFit="1" customWidth="1"/>
    <col min="12803" max="12803" width="9.125" style="4"/>
    <col min="12804" max="12804" width="11.875" style="4" bestFit="1" customWidth="1"/>
    <col min="12805" max="13055" width="9.125" style="4"/>
    <col min="13056" max="13056" width="10.75" style="4" bestFit="1" customWidth="1"/>
    <col min="13057" max="13057" width="9" style="4" bestFit="1" customWidth="1"/>
    <col min="13058" max="13058" width="71.25" style="4" bestFit="1" customWidth="1"/>
    <col min="13059" max="13059" width="9.125" style="4"/>
    <col min="13060" max="13060" width="11.875" style="4" bestFit="1" customWidth="1"/>
    <col min="13061" max="13311" width="9.125" style="4"/>
    <col min="13312" max="13312" width="10.75" style="4" bestFit="1" customWidth="1"/>
    <col min="13313" max="13313" width="9" style="4" bestFit="1" customWidth="1"/>
    <col min="13314" max="13314" width="71.25" style="4" bestFit="1" customWidth="1"/>
    <col min="13315" max="13315" width="9.125" style="4"/>
    <col min="13316" max="13316" width="11.875" style="4" bestFit="1" customWidth="1"/>
    <col min="13317" max="13567" width="9.125" style="4"/>
    <col min="13568" max="13568" width="10.75" style="4" bestFit="1" customWidth="1"/>
    <col min="13569" max="13569" width="9" style="4" bestFit="1" customWidth="1"/>
    <col min="13570" max="13570" width="71.25" style="4" bestFit="1" customWidth="1"/>
    <col min="13571" max="13571" width="9.125" style="4"/>
    <col min="13572" max="13572" width="11.875" style="4" bestFit="1" customWidth="1"/>
    <col min="13573" max="13823" width="9.125" style="4"/>
    <col min="13824" max="13824" width="10.75" style="4" bestFit="1" customWidth="1"/>
    <col min="13825" max="13825" width="9" style="4" bestFit="1" customWidth="1"/>
    <col min="13826" max="13826" width="71.25" style="4" bestFit="1" customWidth="1"/>
    <col min="13827" max="13827" width="9.125" style="4"/>
    <col min="13828" max="13828" width="11.875" style="4" bestFit="1" customWidth="1"/>
    <col min="13829" max="14079" width="9.125" style="4"/>
    <col min="14080" max="14080" width="10.75" style="4" bestFit="1" customWidth="1"/>
    <col min="14081" max="14081" width="9" style="4" bestFit="1" customWidth="1"/>
    <col min="14082" max="14082" width="71.25" style="4" bestFit="1" customWidth="1"/>
    <col min="14083" max="14083" width="9.125" style="4"/>
    <col min="14084" max="14084" width="11.875" style="4" bestFit="1" customWidth="1"/>
    <col min="14085" max="14335" width="9.125" style="4"/>
    <col min="14336" max="14336" width="10.75" style="4" bestFit="1" customWidth="1"/>
    <col min="14337" max="14337" width="9" style="4" bestFit="1" customWidth="1"/>
    <col min="14338" max="14338" width="71.25" style="4" bestFit="1" customWidth="1"/>
    <col min="14339" max="14339" width="9.125" style="4"/>
    <col min="14340" max="14340" width="11.875" style="4" bestFit="1" customWidth="1"/>
    <col min="14341" max="14591" width="9.125" style="4"/>
    <col min="14592" max="14592" width="10.75" style="4" bestFit="1" customWidth="1"/>
    <col min="14593" max="14593" width="9" style="4" bestFit="1" customWidth="1"/>
    <col min="14594" max="14594" width="71.25" style="4" bestFit="1" customWidth="1"/>
    <col min="14595" max="14595" width="9.125" style="4"/>
    <col min="14596" max="14596" width="11.875" style="4" bestFit="1" customWidth="1"/>
    <col min="14597" max="14847" width="9.125" style="4"/>
    <col min="14848" max="14848" width="10.75" style="4" bestFit="1" customWidth="1"/>
    <col min="14849" max="14849" width="9" style="4" bestFit="1" customWidth="1"/>
    <col min="14850" max="14850" width="71.25" style="4" bestFit="1" customWidth="1"/>
    <col min="14851" max="14851" width="9.125" style="4"/>
    <col min="14852" max="14852" width="11.875" style="4" bestFit="1" customWidth="1"/>
    <col min="14853" max="15103" width="9.125" style="4"/>
    <col min="15104" max="15104" width="10.75" style="4" bestFit="1" customWidth="1"/>
    <col min="15105" max="15105" width="9" style="4" bestFit="1" customWidth="1"/>
    <col min="15106" max="15106" width="71.25" style="4" bestFit="1" customWidth="1"/>
    <col min="15107" max="15107" width="9.125" style="4"/>
    <col min="15108" max="15108" width="11.875" style="4" bestFit="1" customWidth="1"/>
    <col min="15109" max="15359" width="9.125" style="4"/>
    <col min="15360" max="15360" width="10.75" style="4" bestFit="1" customWidth="1"/>
    <col min="15361" max="15361" width="9" style="4" bestFit="1" customWidth="1"/>
    <col min="15362" max="15362" width="71.25" style="4" bestFit="1" customWidth="1"/>
    <col min="15363" max="15363" width="9.125" style="4"/>
    <col min="15364" max="15364" width="11.875" style="4" bestFit="1" customWidth="1"/>
    <col min="15365" max="15615" width="9.125" style="4"/>
    <col min="15616" max="15616" width="10.75" style="4" bestFit="1" customWidth="1"/>
    <col min="15617" max="15617" width="9" style="4" bestFit="1" customWidth="1"/>
    <col min="15618" max="15618" width="71.25" style="4" bestFit="1" customWidth="1"/>
    <col min="15619" max="15619" width="9.125" style="4"/>
    <col min="15620" max="15620" width="11.875" style="4" bestFit="1" customWidth="1"/>
    <col min="15621" max="15871" width="9.125" style="4"/>
    <col min="15872" max="15872" width="10.75" style="4" bestFit="1" customWidth="1"/>
    <col min="15873" max="15873" width="9" style="4" bestFit="1" customWidth="1"/>
    <col min="15874" max="15874" width="71.25" style="4" bestFit="1" customWidth="1"/>
    <col min="15875" max="15875" width="9.125" style="4"/>
    <col min="15876" max="15876" width="11.875" style="4" bestFit="1" customWidth="1"/>
    <col min="15877" max="16127" width="9.125" style="4"/>
    <col min="16128" max="16128" width="10.75" style="4" bestFit="1" customWidth="1"/>
    <col min="16129" max="16129" width="9" style="4" bestFit="1" customWidth="1"/>
    <col min="16130" max="16130" width="71.25" style="4" bestFit="1" customWidth="1"/>
    <col min="16131" max="16131" width="9.125" style="4"/>
    <col min="16132" max="16132" width="11.875" style="4" bestFit="1" customWidth="1"/>
    <col min="16133" max="16384" width="9.125" style="4"/>
  </cols>
  <sheetData>
    <row r="1" spans="1:12" ht="15" x14ac:dyDescent="0.25">
      <c r="B1" s="91" t="s">
        <v>236</v>
      </c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2" x14ac:dyDescent="0.2">
      <c r="B2" s="51"/>
      <c r="C2" s="51"/>
      <c r="D2" s="51"/>
      <c r="E2" s="51"/>
      <c r="F2" s="51"/>
      <c r="G2" s="51"/>
      <c r="H2" s="51"/>
      <c r="I2" s="51"/>
      <c r="J2" s="51"/>
    </row>
    <row r="3" spans="1:12" x14ac:dyDescent="0.2">
      <c r="A3" s="61" t="s">
        <v>138</v>
      </c>
      <c r="B3" s="4" t="s">
        <v>0</v>
      </c>
      <c r="C3" s="4" t="s">
        <v>1</v>
      </c>
      <c r="D3" s="4" t="s">
        <v>2</v>
      </c>
      <c r="E3" s="4" t="s">
        <v>110</v>
      </c>
    </row>
    <row r="4" spans="1:12" ht="15" x14ac:dyDescent="0.25">
      <c r="A4" s="25"/>
      <c r="B4" s="25" t="s">
        <v>77</v>
      </c>
      <c r="C4" s="57">
        <f>SUM(C5:C6)</f>
        <v>11.19</v>
      </c>
      <c r="D4" s="26"/>
      <c r="E4" s="26"/>
    </row>
    <row r="5" spans="1:12" ht="15" x14ac:dyDescent="0.25">
      <c r="A5" s="49" t="s">
        <v>139</v>
      </c>
      <c r="B5" s="8" t="s">
        <v>78</v>
      </c>
      <c r="C5" s="58">
        <f>'נספח 2-מניות'!B7</f>
        <v>0</v>
      </c>
      <c r="D5" s="20">
        <f>C5/$C$30</f>
        <v>0</v>
      </c>
      <c r="E5" s="46">
        <f>C5*1000</f>
        <v>0</v>
      </c>
    </row>
    <row r="6" spans="1:12" ht="15" x14ac:dyDescent="0.25">
      <c r="A6" s="49" t="s">
        <v>140</v>
      </c>
      <c r="B6" s="8" t="s">
        <v>79</v>
      </c>
      <c r="C6" s="58">
        <f>'נספח 2-מניות'!B11</f>
        <v>11.19</v>
      </c>
      <c r="D6" s="20">
        <f>C6/$C$30</f>
        <v>3.9208727321418077E-4</v>
      </c>
      <c r="E6" s="46">
        <f>C6*1000</f>
        <v>11190</v>
      </c>
    </row>
    <row r="7" spans="1:12" ht="15" x14ac:dyDescent="0.25">
      <c r="A7" s="25"/>
      <c r="B7" s="25" t="s">
        <v>80</v>
      </c>
      <c r="C7" s="57">
        <f>SUM(C8:C9)</f>
        <v>2.21</v>
      </c>
      <c r="D7" s="27"/>
      <c r="E7" s="47"/>
    </row>
    <row r="8" spans="1:12" ht="15" x14ac:dyDescent="0.25">
      <c r="A8" s="49" t="s">
        <v>141</v>
      </c>
      <c r="B8" s="8" t="s">
        <v>81</v>
      </c>
      <c r="C8" s="58">
        <f>'נספח 2-מניות'!B18</f>
        <v>0</v>
      </c>
      <c r="D8" s="20">
        <f t="shared" ref="D8:D30" si="0">C8/$C$30</f>
        <v>0</v>
      </c>
      <c r="E8" s="46">
        <f t="shared" ref="E8:E32" si="1">C8*1000</f>
        <v>0</v>
      </c>
    </row>
    <row r="9" spans="1:12" ht="15" x14ac:dyDescent="0.25">
      <c r="A9" s="49" t="s">
        <v>142</v>
      </c>
      <c r="B9" s="8" t="s">
        <v>82</v>
      </c>
      <c r="C9" s="58">
        <f>'נספח 2-מניות'!B21</f>
        <v>2.21</v>
      </c>
      <c r="D9" s="20">
        <f t="shared" si="0"/>
        <v>7.7436360482872172E-5</v>
      </c>
      <c r="E9" s="46">
        <f>C9*1000</f>
        <v>2210</v>
      </c>
    </row>
    <row r="10" spans="1:12" ht="15" x14ac:dyDescent="0.25">
      <c r="A10" s="25"/>
      <c r="B10" s="25" t="s">
        <v>83</v>
      </c>
      <c r="C10" s="57">
        <f>SUM(C11:C13)</f>
        <v>0</v>
      </c>
      <c r="D10" s="27"/>
      <c r="E10" s="47"/>
    </row>
    <row r="11" spans="1:12" s="23" customFormat="1" ht="15" x14ac:dyDescent="0.25">
      <c r="A11" s="21" t="s">
        <v>143</v>
      </c>
      <c r="B11" s="21" t="s">
        <v>84</v>
      </c>
      <c r="C11" s="59">
        <f>'נספח 2-מניות'!B25</f>
        <v>0</v>
      </c>
      <c r="D11" s="22">
        <f t="shared" si="0"/>
        <v>0</v>
      </c>
      <c r="E11" s="46">
        <f t="shared" si="1"/>
        <v>0</v>
      </c>
    </row>
    <row r="12" spans="1:12" s="23" customFormat="1" ht="15" x14ac:dyDescent="0.25">
      <c r="A12" s="21" t="s">
        <v>144</v>
      </c>
      <c r="B12" s="21" t="s">
        <v>85</v>
      </c>
      <c r="C12" s="59">
        <v>0</v>
      </c>
      <c r="D12" s="22">
        <f t="shared" si="0"/>
        <v>0</v>
      </c>
      <c r="E12" s="46">
        <f t="shared" si="1"/>
        <v>0</v>
      </c>
    </row>
    <row r="13" spans="1:12" s="23" customFormat="1" ht="15" x14ac:dyDescent="0.25">
      <c r="A13" s="21" t="s">
        <v>145</v>
      </c>
      <c r="B13" s="21" t="s">
        <v>86</v>
      </c>
      <c r="C13" s="59">
        <f>'נספח 2-מניות'!B30</f>
        <v>0</v>
      </c>
      <c r="D13" s="22">
        <f t="shared" si="0"/>
        <v>0</v>
      </c>
      <c r="E13" s="46">
        <f t="shared" si="1"/>
        <v>0</v>
      </c>
    </row>
    <row r="14" spans="1:12" s="23" customFormat="1" ht="15" x14ac:dyDescent="0.25">
      <c r="A14" s="25"/>
      <c r="B14" s="25" t="s">
        <v>87</v>
      </c>
      <c r="C14" s="57">
        <f>SUM(C15:C22)</f>
        <v>42.43</v>
      </c>
      <c r="D14" s="27"/>
      <c r="E14" s="47"/>
    </row>
    <row r="15" spans="1:12" s="23" customFormat="1" ht="15" x14ac:dyDescent="0.25">
      <c r="A15" s="21" t="s">
        <v>146</v>
      </c>
      <c r="B15" s="21" t="s">
        <v>88</v>
      </c>
      <c r="C15" s="59">
        <f>'נספח 3 - מניות'!B6</f>
        <v>16.61</v>
      </c>
      <c r="D15" s="22">
        <f t="shared" si="0"/>
        <v>5.8199907132149627E-4</v>
      </c>
      <c r="E15" s="46">
        <f>C15*1000</f>
        <v>16610</v>
      </c>
    </row>
    <row r="16" spans="1:12" s="23" customFormat="1" ht="15" x14ac:dyDescent="0.25">
      <c r="A16" s="21" t="s">
        <v>147</v>
      </c>
      <c r="B16" s="21" t="s">
        <v>89</v>
      </c>
      <c r="C16" s="59">
        <f>'נספח 3 - מניות'!B9</f>
        <v>0</v>
      </c>
      <c r="D16" s="22">
        <f t="shared" si="0"/>
        <v>0</v>
      </c>
      <c r="E16" s="46">
        <f t="shared" si="1"/>
        <v>0</v>
      </c>
    </row>
    <row r="17" spans="1:5" s="23" customFormat="1" ht="15" x14ac:dyDescent="0.25">
      <c r="A17" s="21" t="s">
        <v>148</v>
      </c>
      <c r="B17" s="21" t="s">
        <v>90</v>
      </c>
      <c r="C17" s="59">
        <f>'נספח 3 - מניות'!B14</f>
        <v>0</v>
      </c>
      <c r="D17" s="22">
        <f t="shared" si="0"/>
        <v>0</v>
      </c>
      <c r="E17" s="46">
        <f t="shared" si="1"/>
        <v>0</v>
      </c>
    </row>
    <row r="18" spans="1:5" s="23" customFormat="1" ht="15" x14ac:dyDescent="0.25">
      <c r="A18" s="21" t="s">
        <v>149</v>
      </c>
      <c r="B18" s="21" t="s">
        <v>91</v>
      </c>
      <c r="C18" s="59">
        <f>'נספח 3 - מניות'!B19</f>
        <v>0</v>
      </c>
      <c r="D18" s="22">
        <f t="shared" si="0"/>
        <v>0</v>
      </c>
      <c r="E18" s="46">
        <f t="shared" si="1"/>
        <v>0</v>
      </c>
    </row>
    <row r="19" spans="1:5" s="23" customFormat="1" ht="15" x14ac:dyDescent="0.25">
      <c r="A19" s="21" t="s">
        <v>150</v>
      </c>
      <c r="B19" s="21" t="s">
        <v>92</v>
      </c>
      <c r="C19" s="59">
        <f>'נספח 3 - מניות'!B37</f>
        <v>1.3399999999999999</v>
      </c>
      <c r="D19" s="22">
        <f t="shared" si="0"/>
        <v>4.695236336970529E-5</v>
      </c>
      <c r="E19" s="46">
        <f>C19*1000</f>
        <v>1339.9999999999998</v>
      </c>
    </row>
    <row r="20" spans="1:5" s="23" customFormat="1" ht="15" x14ac:dyDescent="0.25">
      <c r="A20" s="21" t="s">
        <v>151</v>
      </c>
      <c r="B20" s="21" t="s">
        <v>93</v>
      </c>
      <c r="C20" s="59">
        <f>'נספח 3 - מניות'!B79</f>
        <v>23.04</v>
      </c>
      <c r="D20" s="22">
        <f t="shared" si="0"/>
        <v>8.0730033734179854E-4</v>
      </c>
      <c r="E20" s="46">
        <f>C20*1000</f>
        <v>23040</v>
      </c>
    </row>
    <row r="21" spans="1:5" s="23" customFormat="1" ht="15" x14ac:dyDescent="0.25">
      <c r="A21" s="21" t="s">
        <v>152</v>
      </c>
      <c r="B21" s="21" t="s">
        <v>94</v>
      </c>
      <c r="C21" s="59">
        <f>'נספח 3 - מניות'!B23</f>
        <v>0.1</v>
      </c>
      <c r="D21" s="22">
        <f t="shared" si="0"/>
        <v>3.5039077141571122E-6</v>
      </c>
      <c r="E21" s="46">
        <f>C21*1000</f>
        <v>100</v>
      </c>
    </row>
    <row r="22" spans="1:5" s="23" customFormat="1" ht="15" x14ac:dyDescent="0.25">
      <c r="A22" s="21" t="s">
        <v>153</v>
      </c>
      <c r="B22" s="21" t="s">
        <v>95</v>
      </c>
      <c r="C22" s="59">
        <f>'נספח 3 - מניות'!B26</f>
        <v>1.34</v>
      </c>
      <c r="D22" s="22">
        <f t="shared" si="0"/>
        <v>4.6952363369705304E-5</v>
      </c>
      <c r="E22" s="46">
        <f>C22*1000</f>
        <v>1340</v>
      </c>
    </row>
    <row r="23" spans="1:5" s="23" customFormat="1" ht="15" x14ac:dyDescent="0.25">
      <c r="A23" s="25"/>
      <c r="B23" s="25" t="s">
        <v>96</v>
      </c>
      <c r="C23" s="57">
        <f>SUM(C24:C25)</f>
        <v>0</v>
      </c>
      <c r="D23" s="27"/>
      <c r="E23" s="47"/>
    </row>
    <row r="24" spans="1:5" s="23" customFormat="1" ht="15" x14ac:dyDescent="0.25">
      <c r="A24" s="21" t="s">
        <v>154</v>
      </c>
      <c r="B24" s="21" t="s">
        <v>97</v>
      </c>
      <c r="C24" s="59">
        <f>'נספח 2-מניות'!B34</f>
        <v>0</v>
      </c>
      <c r="D24" s="22">
        <f t="shared" si="0"/>
        <v>0</v>
      </c>
      <c r="E24" s="46">
        <f t="shared" si="1"/>
        <v>0</v>
      </c>
    </row>
    <row r="25" spans="1:5" s="23" customFormat="1" ht="15" x14ac:dyDescent="0.25">
      <c r="A25" s="21" t="s">
        <v>155</v>
      </c>
      <c r="B25" s="21" t="s">
        <v>98</v>
      </c>
      <c r="C25" s="59">
        <f>'נספח 2-מניות'!B38</f>
        <v>0</v>
      </c>
      <c r="D25" s="22">
        <f t="shared" si="0"/>
        <v>0</v>
      </c>
      <c r="E25" s="46">
        <f t="shared" si="1"/>
        <v>0</v>
      </c>
    </row>
    <row r="26" spans="1:5" s="23" customFormat="1" ht="15" x14ac:dyDescent="0.25">
      <c r="A26" s="25" t="s">
        <v>156</v>
      </c>
      <c r="B26" s="25" t="s">
        <v>99</v>
      </c>
      <c r="C26" s="30">
        <f>C4+C7+C10+C14+C23</f>
        <v>55.83</v>
      </c>
      <c r="D26" s="27">
        <f t="shared" si="0"/>
        <v>1.9562316768139154E-3</v>
      </c>
      <c r="E26" s="47">
        <f t="shared" si="1"/>
        <v>55830</v>
      </c>
    </row>
    <row r="27" spans="1:5" ht="15" x14ac:dyDescent="0.25">
      <c r="A27" s="25"/>
      <c r="B27" s="8" t="s">
        <v>100</v>
      </c>
      <c r="C27" s="32"/>
      <c r="D27" s="20"/>
      <c r="E27" s="46">
        <f t="shared" si="1"/>
        <v>0</v>
      </c>
    </row>
    <row r="28" spans="1:5" ht="15" x14ac:dyDescent="0.25">
      <c r="A28" s="49" t="s">
        <v>157</v>
      </c>
      <c r="B28" s="81" t="s">
        <v>255</v>
      </c>
      <c r="C28" s="48">
        <f>SUM(C11,C15:C22,C25)/C34</f>
        <v>1.5029314573582542E-3</v>
      </c>
      <c r="D28" s="20">
        <f t="shared" si="0"/>
        <v>5.2661331272869772E-8</v>
      </c>
      <c r="E28" s="48">
        <f>SUM(E11,E15:E22,E25)/E32</f>
        <v>1.5195128476906288E-3</v>
      </c>
    </row>
    <row r="29" spans="1:5" ht="15" x14ac:dyDescent="0.25">
      <c r="A29" s="49" t="s">
        <v>158</v>
      </c>
      <c r="B29" s="81" t="s">
        <v>256</v>
      </c>
      <c r="C29" s="48">
        <f>C26/C34</f>
        <v>1.9775786769811766E-3</v>
      </c>
      <c r="D29" s="20">
        <f t="shared" si="0"/>
        <v>6.9292531816269601E-8</v>
      </c>
      <c r="E29" s="48">
        <f>E26/E32</f>
        <v>1.9993967072016922E-3</v>
      </c>
    </row>
    <row r="30" spans="1:5" ht="15" x14ac:dyDescent="0.25">
      <c r="A30" s="49"/>
      <c r="B30" s="8" t="s">
        <v>50</v>
      </c>
      <c r="C30" s="33">
        <f>'נספח 3 - מניות'!B82</f>
        <v>28539.564440000002</v>
      </c>
      <c r="D30" s="20">
        <f t="shared" si="0"/>
        <v>1</v>
      </c>
      <c r="E30" s="46">
        <f t="shared" si="1"/>
        <v>28539564.440000001</v>
      </c>
    </row>
    <row r="31" spans="1:5" ht="15.75" customHeight="1" x14ac:dyDescent="0.25">
      <c r="A31" s="49"/>
      <c r="B31" s="13"/>
      <c r="C31" s="15"/>
      <c r="D31" s="5"/>
      <c r="E31" s="46">
        <f t="shared" si="1"/>
        <v>0</v>
      </c>
    </row>
    <row r="32" spans="1:5" ht="15" x14ac:dyDescent="0.25">
      <c r="A32" s="49" t="s">
        <v>159</v>
      </c>
      <c r="B32" s="13" t="s">
        <v>104</v>
      </c>
      <c r="C32" s="33">
        <f>27923423/1000</f>
        <v>27923.422999999999</v>
      </c>
      <c r="D32" s="5"/>
      <c r="E32" s="46">
        <f t="shared" si="1"/>
        <v>27923423</v>
      </c>
    </row>
    <row r="34" spans="1:3" ht="15" x14ac:dyDescent="0.25">
      <c r="A34" s="63" t="s">
        <v>159</v>
      </c>
      <c r="B34" s="63" t="s">
        <v>191</v>
      </c>
      <c r="C34" s="66">
        <f>AVERAGE(C30:C32)</f>
        <v>28231.493719999999</v>
      </c>
    </row>
  </sheetData>
  <mergeCells count="1">
    <mergeCell ref="B1:L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D58"/>
  <sheetViews>
    <sheetView rightToLeft="1" topLeftCell="A19" zoomScale="80" zoomScaleNormal="80" workbookViewId="0">
      <selection activeCell="B57" sqref="B57"/>
    </sheetView>
  </sheetViews>
  <sheetFormatPr defaultRowHeight="14.25" x14ac:dyDescent="0.2"/>
  <cols>
    <col min="1" max="1" width="48.5" bestFit="1" customWidth="1"/>
    <col min="2" max="2" width="13.25" bestFit="1" customWidth="1"/>
    <col min="3" max="3" width="10.375" bestFit="1" customWidth="1"/>
    <col min="4" max="4" width="13.75" customWidth="1"/>
  </cols>
  <sheetData>
    <row r="1" spans="1:4" ht="15" x14ac:dyDescent="0.25">
      <c r="A1" s="88" t="s">
        <v>107</v>
      </c>
      <c r="B1" s="88"/>
      <c r="C1" s="88"/>
    </row>
    <row r="2" spans="1:4" ht="15" x14ac:dyDescent="0.25">
      <c r="A2" s="88" t="s">
        <v>233</v>
      </c>
      <c r="B2" s="88"/>
      <c r="C2" s="88"/>
    </row>
    <row r="3" spans="1:4" s="55" customFormat="1" x14ac:dyDescent="0.2"/>
    <row r="4" spans="1:4" x14ac:dyDescent="0.2">
      <c r="A4" t="s">
        <v>0</v>
      </c>
      <c r="B4" t="s">
        <v>1</v>
      </c>
      <c r="C4" t="s">
        <v>2</v>
      </c>
    </row>
    <row r="5" spans="1:4" ht="15" x14ac:dyDescent="0.25">
      <c r="A5" s="2" t="s">
        <v>51</v>
      </c>
      <c r="B5" s="2"/>
    </row>
    <row r="6" spans="1:4" ht="15" x14ac:dyDescent="0.25">
      <c r="A6" s="2" t="s">
        <v>52</v>
      </c>
      <c r="B6" s="19"/>
    </row>
    <row r="7" spans="1:4" x14ac:dyDescent="0.2">
      <c r="A7" s="64"/>
      <c r="B7" s="56"/>
      <c r="C7" s="16">
        <f>B7/$B$57</f>
        <v>0</v>
      </c>
    </row>
    <row r="8" spans="1:4" ht="15" x14ac:dyDescent="0.25">
      <c r="A8" s="28" t="s">
        <v>54</v>
      </c>
      <c r="B8" s="42">
        <f>SUM(B7)</f>
        <v>0</v>
      </c>
      <c r="C8" s="31">
        <f>SUM(C7)</f>
        <v>0</v>
      </c>
      <c r="D8" s="84">
        <f>'נספח 2- כללי'!B7+'נספח 2- אג"ח'!B7+'נספח 2-מניות'!B7-'נספח 2 - עמלות והוצאות'!B8</f>
        <v>0</v>
      </c>
    </row>
    <row r="9" spans="1:4" ht="15" x14ac:dyDescent="0.25">
      <c r="A9" s="2" t="s">
        <v>55</v>
      </c>
      <c r="B9" s="19"/>
      <c r="C9" s="16"/>
    </row>
    <row r="10" spans="1:4" x14ac:dyDescent="0.2">
      <c r="A10" s="82" t="s">
        <v>63</v>
      </c>
      <c r="B10" s="56">
        <f>826.78+'נספח 2- אג"ח'!B9+'נספח 2-מניות'!B9</f>
        <v>848.28</v>
      </c>
      <c r="C10" s="16">
        <f t="shared" ref="C10:C20" si="0">B10/$B$57</f>
        <v>2.7977678792883088E-4</v>
      </c>
    </row>
    <row r="11" spans="1:4" x14ac:dyDescent="0.2">
      <c r="A11" s="82" t="s">
        <v>56</v>
      </c>
      <c r="B11" s="56">
        <f>46.59+'נספח 2-מניות'!B10</f>
        <v>47.6</v>
      </c>
      <c r="C11" s="16">
        <f t="shared" si="0"/>
        <v>1.5699268054666327E-5</v>
      </c>
    </row>
    <row r="12" spans="1:4" x14ac:dyDescent="0.2">
      <c r="A12" s="82" t="s">
        <v>119</v>
      </c>
      <c r="B12" s="56">
        <v>12.45</v>
      </c>
      <c r="C12" s="16">
        <f t="shared" si="0"/>
        <v>4.1062161193402467E-6</v>
      </c>
    </row>
    <row r="13" spans="1:4" x14ac:dyDescent="0.2">
      <c r="A13" s="82" t="s">
        <v>229</v>
      </c>
      <c r="B13" s="56">
        <v>0</v>
      </c>
      <c r="C13" s="16">
        <f t="shared" si="0"/>
        <v>0</v>
      </c>
    </row>
    <row r="14" spans="1:4" x14ac:dyDescent="0.2">
      <c r="A14" s="82" t="s">
        <v>170</v>
      </c>
      <c r="B14" s="56">
        <v>1.1399999999999999</v>
      </c>
      <c r="C14" s="16">
        <f t="shared" si="0"/>
        <v>3.7599087357814309E-7</v>
      </c>
    </row>
    <row r="15" spans="1:4" s="56" customFormat="1" x14ac:dyDescent="0.2">
      <c r="A15" s="82" t="s">
        <v>189</v>
      </c>
      <c r="B15" s="56">
        <v>0</v>
      </c>
      <c r="C15" s="16">
        <f t="shared" si="0"/>
        <v>0</v>
      </c>
    </row>
    <row r="16" spans="1:4" s="56" customFormat="1" x14ac:dyDescent="0.2">
      <c r="A16" s="82" t="s">
        <v>188</v>
      </c>
      <c r="B16" s="56">
        <v>0</v>
      </c>
      <c r="C16" s="16">
        <f t="shared" si="0"/>
        <v>0</v>
      </c>
    </row>
    <row r="17" spans="1:4" s="56" customFormat="1" x14ac:dyDescent="0.2">
      <c r="A17" s="82" t="s">
        <v>230</v>
      </c>
      <c r="B17" s="56">
        <v>0</v>
      </c>
      <c r="C17" s="16">
        <f t="shared" si="0"/>
        <v>0</v>
      </c>
    </row>
    <row r="18" spans="1:4" s="56" customFormat="1" x14ac:dyDescent="0.2">
      <c r="A18" s="82" t="s">
        <v>220</v>
      </c>
      <c r="B18" s="56">
        <v>0</v>
      </c>
      <c r="C18" s="16">
        <f t="shared" si="0"/>
        <v>0</v>
      </c>
    </row>
    <row r="19" spans="1:4" s="56" customFormat="1" x14ac:dyDescent="0.2">
      <c r="A19" s="82" t="s">
        <v>190</v>
      </c>
      <c r="B19" s="56">
        <v>3.48</v>
      </c>
      <c r="C19" s="16">
        <f t="shared" si="0"/>
        <v>1.1477616140806474E-6</v>
      </c>
    </row>
    <row r="20" spans="1:4" s="56" customFormat="1" x14ac:dyDescent="0.2">
      <c r="A20" s="82" t="s">
        <v>171</v>
      </c>
      <c r="B20" s="56">
        <v>2.5099999999999998</v>
      </c>
      <c r="C20" s="16">
        <f t="shared" si="0"/>
        <v>8.2783955498345539E-7</v>
      </c>
    </row>
    <row r="21" spans="1:4" s="56" customFormat="1" x14ac:dyDescent="0.2">
      <c r="A21" s="82" t="s">
        <v>221</v>
      </c>
      <c r="B21" s="56">
        <v>0</v>
      </c>
      <c r="C21" s="16">
        <f t="shared" ref="C21:C26" si="1">B21/$B$57</f>
        <v>0</v>
      </c>
    </row>
    <row r="22" spans="1:4" s="56" customFormat="1" x14ac:dyDescent="0.2">
      <c r="A22" s="82" t="s">
        <v>232</v>
      </c>
      <c r="B22" s="56">
        <v>0</v>
      </c>
      <c r="C22" s="16">
        <f t="shared" si="1"/>
        <v>0</v>
      </c>
    </row>
    <row r="23" spans="1:4" s="56" customFormat="1" x14ac:dyDescent="0.2">
      <c r="A23" s="82" t="s">
        <v>160</v>
      </c>
      <c r="B23" s="56">
        <v>11.19</v>
      </c>
      <c r="C23" s="16">
        <f t="shared" si="1"/>
        <v>3.6906472590696675E-6</v>
      </c>
    </row>
    <row r="24" spans="1:4" s="56" customFormat="1" x14ac:dyDescent="0.2">
      <c r="A24" s="82" t="s">
        <v>231</v>
      </c>
      <c r="B24" s="56">
        <v>0</v>
      </c>
      <c r="C24" s="16">
        <f t="shared" si="1"/>
        <v>0</v>
      </c>
    </row>
    <row r="25" spans="1:4" s="56" customFormat="1" x14ac:dyDescent="0.2">
      <c r="A25" s="82" t="s">
        <v>219</v>
      </c>
      <c r="B25" s="56">
        <v>0</v>
      </c>
      <c r="C25" s="16">
        <f t="shared" si="1"/>
        <v>0</v>
      </c>
    </row>
    <row r="26" spans="1:4" s="56" customFormat="1" x14ac:dyDescent="0.2">
      <c r="A26" s="82" t="s">
        <v>205</v>
      </c>
      <c r="B26" s="56">
        <v>11.6</v>
      </c>
      <c r="C26" s="16">
        <f t="shared" si="1"/>
        <v>3.8258720469354908E-6</v>
      </c>
    </row>
    <row r="27" spans="1:4" s="56" customFormat="1" x14ac:dyDescent="0.2">
      <c r="A27" s="82" t="s">
        <v>57</v>
      </c>
      <c r="B27" s="56">
        <v>0.79</v>
      </c>
      <c r="C27" s="16">
        <f>B27/$B$57</f>
        <v>2.6055507905853775E-7</v>
      </c>
    </row>
    <row r="28" spans="1:4" ht="15" x14ac:dyDescent="0.25">
      <c r="A28" s="28" t="s">
        <v>58</v>
      </c>
      <c r="B28" s="42">
        <f>SUM(B10:B27)</f>
        <v>939.04000000000008</v>
      </c>
      <c r="C28" s="31">
        <f>SUM(C10:C27)</f>
        <v>3.0971093853054331E-4</v>
      </c>
      <c r="D28" s="84">
        <f>'נספח 2- כללי'!B27+'נספח 2- אג"ח'!B10+'נספח 2-מניות'!B11-B28</f>
        <v>0</v>
      </c>
    </row>
    <row r="29" spans="1:4" ht="15" x14ac:dyDescent="0.25">
      <c r="A29" s="36" t="s">
        <v>59</v>
      </c>
      <c r="B29" s="43">
        <f>B8+B28</f>
        <v>939.04000000000008</v>
      </c>
      <c r="C29" s="38">
        <f>B29/$B$57</f>
        <v>3.0971093853054342E-4</v>
      </c>
    </row>
    <row r="30" spans="1:4" ht="15" x14ac:dyDescent="0.25">
      <c r="A30" s="2" t="s">
        <v>60</v>
      </c>
      <c r="B30" s="19"/>
      <c r="C30" s="16"/>
    </row>
    <row r="31" spans="1:4" ht="15" x14ac:dyDescent="0.25">
      <c r="A31" s="2" t="s">
        <v>52</v>
      </c>
      <c r="B31" s="19"/>
      <c r="C31" s="16"/>
    </row>
    <row r="32" spans="1:4" x14ac:dyDescent="0.2">
      <c r="A32" s="3" t="s">
        <v>61</v>
      </c>
      <c r="B32" s="18">
        <v>0</v>
      </c>
      <c r="C32" s="16">
        <f>B32/$B$57</f>
        <v>0</v>
      </c>
    </row>
    <row r="33" spans="1:4" x14ac:dyDescent="0.2">
      <c r="A33" s="3" t="s">
        <v>62</v>
      </c>
      <c r="B33" s="18">
        <v>0</v>
      </c>
      <c r="C33" s="16">
        <f>B33/$B$57</f>
        <v>0</v>
      </c>
    </row>
    <row r="34" spans="1:4" x14ac:dyDescent="0.2">
      <c r="A34" s="3" t="s">
        <v>12</v>
      </c>
      <c r="B34" s="18">
        <v>0</v>
      </c>
      <c r="C34" s="16">
        <f>B34/$B$57</f>
        <v>0</v>
      </c>
    </row>
    <row r="35" spans="1:4" ht="15" x14ac:dyDescent="0.25">
      <c r="A35" s="28" t="s">
        <v>54</v>
      </c>
      <c r="B35" s="42">
        <f>SUM(B32:B34)</f>
        <v>0</v>
      </c>
      <c r="C35" s="31">
        <f>B35/$B$57</f>
        <v>0</v>
      </c>
      <c r="D35" s="84">
        <f>'נספח 2- כללי'!B34+'נספח 2- אג"ח'!B17+'נספח 2-מניות'!B18-'נספח 2 - עמלות והוצאות'!B35</f>
        <v>0</v>
      </c>
    </row>
    <row r="36" spans="1:4" ht="15" x14ac:dyDescent="0.25">
      <c r="A36" s="2" t="s">
        <v>55</v>
      </c>
      <c r="B36" s="19"/>
      <c r="C36" s="16"/>
    </row>
    <row r="37" spans="1:4" x14ac:dyDescent="0.2">
      <c r="A37" s="3" t="s">
        <v>63</v>
      </c>
      <c r="B37" s="18">
        <f>'נספח 2-מניות'!B20+'נספח 2- אג"ח'!B19+'נספח 2- כללי'!B36</f>
        <v>122.83</v>
      </c>
      <c r="C37" s="16">
        <f>B37/$B$57</f>
        <v>4.0511367545266065E-5</v>
      </c>
    </row>
    <row r="38" spans="1:4" ht="15" x14ac:dyDescent="0.25">
      <c r="A38" s="28" t="s">
        <v>58</v>
      </c>
      <c r="B38" s="42">
        <f>SUM(B37)</f>
        <v>122.83</v>
      </c>
      <c r="C38" s="31">
        <f>B38/$B$57</f>
        <v>4.0511367545266065E-5</v>
      </c>
      <c r="D38" s="84">
        <f>'נספח 2- כללי'!B37+'נספח 2- אג"ח'!B20+'נספח 2-מניות'!B21-B38</f>
        <v>0</v>
      </c>
    </row>
    <row r="39" spans="1:4" ht="15" x14ac:dyDescent="0.25">
      <c r="A39" s="36" t="s">
        <v>64</v>
      </c>
      <c r="B39" s="43">
        <f>SUM(B35,B38)</f>
        <v>122.83</v>
      </c>
      <c r="C39" s="38">
        <f>B39/$B$57</f>
        <v>4.0511367545266065E-5</v>
      </c>
    </row>
    <row r="40" spans="1:4" ht="15" x14ac:dyDescent="0.25">
      <c r="A40" s="2" t="s">
        <v>65</v>
      </c>
      <c r="B40" s="19"/>
      <c r="C40" s="16"/>
    </row>
    <row r="41" spans="1:4" x14ac:dyDescent="0.2">
      <c r="A41" s="3" t="s">
        <v>63</v>
      </c>
      <c r="B41" s="18">
        <f>'נספח 2- כללי'!B40+'נספח 2- אג"ח'!B23+'נספח 2-מניות'!B24</f>
        <v>0</v>
      </c>
      <c r="C41" s="16">
        <f>B41/$B$57</f>
        <v>0</v>
      </c>
    </row>
    <row r="42" spans="1:4" ht="15" x14ac:dyDescent="0.25">
      <c r="A42" s="28" t="s">
        <v>66</v>
      </c>
      <c r="B42" s="42">
        <f>SUM(B41)</f>
        <v>0</v>
      </c>
      <c r="C42" s="31">
        <f>B42/$B$57</f>
        <v>0</v>
      </c>
    </row>
    <row r="43" spans="1:4" ht="15" x14ac:dyDescent="0.25">
      <c r="A43" s="2" t="s">
        <v>67</v>
      </c>
      <c r="B43" s="19"/>
      <c r="C43" s="16"/>
    </row>
    <row r="44" spans="1:4" x14ac:dyDescent="0.2">
      <c r="A44" s="3" t="s">
        <v>10</v>
      </c>
      <c r="B44" s="18">
        <v>0</v>
      </c>
      <c r="C44" s="16">
        <f>B44/$B$57</f>
        <v>0</v>
      </c>
    </row>
    <row r="45" spans="1:4" x14ac:dyDescent="0.2">
      <c r="A45" s="3" t="s">
        <v>11</v>
      </c>
      <c r="B45" s="18">
        <v>0</v>
      </c>
      <c r="C45" s="16">
        <f>B45/$B$57</f>
        <v>0</v>
      </c>
    </row>
    <row r="46" spans="1:4" x14ac:dyDescent="0.2">
      <c r="A46" s="3" t="s">
        <v>12</v>
      </c>
      <c r="B46" s="18">
        <v>0</v>
      </c>
      <c r="C46" s="16">
        <f>B46/$B$57</f>
        <v>0</v>
      </c>
    </row>
    <row r="47" spans="1:4" ht="15" x14ac:dyDescent="0.25">
      <c r="A47" s="28" t="s">
        <v>68</v>
      </c>
      <c r="B47" s="42">
        <v>0</v>
      </c>
      <c r="C47" s="31">
        <f>B47/$B$57</f>
        <v>0</v>
      </c>
    </row>
    <row r="48" spans="1:4" ht="15" x14ac:dyDescent="0.25">
      <c r="A48" s="2" t="s">
        <v>69</v>
      </c>
      <c r="B48" s="19"/>
      <c r="C48" s="16"/>
    </row>
    <row r="49" spans="1:4" x14ac:dyDescent="0.2">
      <c r="A49" s="3" t="s">
        <v>10</v>
      </c>
      <c r="B49" s="18">
        <v>0</v>
      </c>
      <c r="C49" s="16">
        <f>B49/$B$57</f>
        <v>0</v>
      </c>
    </row>
    <row r="50" spans="1:4" x14ac:dyDescent="0.2">
      <c r="A50" s="3" t="s">
        <v>12</v>
      </c>
      <c r="B50" s="18">
        <v>0</v>
      </c>
      <c r="C50" s="16">
        <f>B50/$B$57</f>
        <v>0</v>
      </c>
    </row>
    <row r="51" spans="1:4" ht="15" x14ac:dyDescent="0.25">
      <c r="A51" s="28" t="s">
        <v>70</v>
      </c>
      <c r="B51" s="42">
        <v>0</v>
      </c>
      <c r="C51" s="31">
        <f>B51/$B$57</f>
        <v>0</v>
      </c>
    </row>
    <row r="52" spans="1:4" ht="15" x14ac:dyDescent="0.25">
      <c r="A52" s="2" t="s">
        <v>71</v>
      </c>
      <c r="B52" s="19"/>
      <c r="C52" s="16"/>
    </row>
    <row r="53" spans="1:4" x14ac:dyDescent="0.2">
      <c r="A53" s="3" t="s">
        <v>10</v>
      </c>
      <c r="B53" s="18">
        <v>0</v>
      </c>
      <c r="C53" s="16">
        <f>B53/$B$57</f>
        <v>0</v>
      </c>
    </row>
    <row r="54" spans="1:4" x14ac:dyDescent="0.2">
      <c r="A54" s="3" t="s">
        <v>12</v>
      </c>
      <c r="B54" s="18">
        <v>0</v>
      </c>
      <c r="C54" s="16">
        <f>B54/$B$57</f>
        <v>0</v>
      </c>
    </row>
    <row r="55" spans="1:4" ht="15" x14ac:dyDescent="0.25">
      <c r="A55" s="28" t="s">
        <v>72</v>
      </c>
      <c r="B55" s="42">
        <v>0</v>
      </c>
      <c r="C55" s="31">
        <f>B55/$B$57</f>
        <v>0</v>
      </c>
    </row>
    <row r="56" spans="1:4" ht="15" x14ac:dyDescent="0.25">
      <c r="A56" s="2" t="s">
        <v>73</v>
      </c>
      <c r="B56" s="19">
        <f>B29+B39+B42+B47+B51+B55</f>
        <v>1061.8700000000001</v>
      </c>
      <c r="C56" s="17">
        <f>B56/$B$57</f>
        <v>3.5022230607580952E-4</v>
      </c>
      <c r="D56" s="84">
        <f>'נספח 2- כללי'!B55+'נספח 2- אג"ח'!B38+'נספח 2-מניות'!B39-B56</f>
        <v>0</v>
      </c>
    </row>
    <row r="57" spans="1:4" ht="15" x14ac:dyDescent="0.25">
      <c r="A57" s="2" t="s">
        <v>50</v>
      </c>
      <c r="B57" s="19">
        <f>'נספח 2- כללי'!B56+'נספח 2- אג"ח'!B39+'נספח 2-מניות'!B40</f>
        <v>3031988.4872499998</v>
      </c>
      <c r="C57" s="17">
        <f>B57/$B$57</f>
        <v>1</v>
      </c>
    </row>
    <row r="58" spans="1:4" ht="15" x14ac:dyDescent="0.25">
      <c r="A58" s="2" t="s">
        <v>74</v>
      </c>
      <c r="B58" s="2"/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rightToLeft="1" zoomScale="80" zoomScaleNormal="80" workbookViewId="0">
      <selection activeCell="B59" sqref="B59"/>
    </sheetView>
  </sheetViews>
  <sheetFormatPr defaultRowHeight="14.25" x14ac:dyDescent="0.2"/>
  <cols>
    <col min="1" max="1" width="55.375" bestFit="1" customWidth="1"/>
    <col min="2" max="2" width="13.25" bestFit="1" customWidth="1"/>
    <col min="3" max="3" width="11.875" bestFit="1" customWidth="1"/>
    <col min="255" max="255" width="10.75" bestFit="1" customWidth="1"/>
    <col min="256" max="256" width="9" bestFit="1" customWidth="1"/>
    <col min="257" max="257" width="55.375" bestFit="1" customWidth="1"/>
    <col min="258" max="258" width="11.75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5.375" bestFit="1" customWidth="1"/>
    <col min="514" max="514" width="11.75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5.375" bestFit="1" customWidth="1"/>
    <col min="770" max="770" width="11.75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5.375" bestFit="1" customWidth="1"/>
    <col min="1026" max="1026" width="11.75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5.375" bestFit="1" customWidth="1"/>
    <col min="1282" max="1282" width="11.75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5.375" bestFit="1" customWidth="1"/>
    <col min="1538" max="1538" width="11.75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5.375" bestFit="1" customWidth="1"/>
    <col min="1794" max="1794" width="11.75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5.375" bestFit="1" customWidth="1"/>
    <col min="2050" max="2050" width="11.75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5.375" bestFit="1" customWidth="1"/>
    <col min="2306" max="2306" width="11.75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5.375" bestFit="1" customWidth="1"/>
    <col min="2562" max="2562" width="11.75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5.375" bestFit="1" customWidth="1"/>
    <col min="2818" max="2818" width="11.75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5.375" bestFit="1" customWidth="1"/>
    <col min="3074" max="3074" width="11.75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5.375" bestFit="1" customWidth="1"/>
    <col min="3330" max="3330" width="11.75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5.375" bestFit="1" customWidth="1"/>
    <col min="3586" max="3586" width="11.75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5.375" bestFit="1" customWidth="1"/>
    <col min="3842" max="3842" width="11.75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5.375" bestFit="1" customWidth="1"/>
    <col min="4098" max="4098" width="11.75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5.375" bestFit="1" customWidth="1"/>
    <col min="4354" max="4354" width="11.75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5.375" bestFit="1" customWidth="1"/>
    <col min="4610" max="4610" width="11.75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5.375" bestFit="1" customWidth="1"/>
    <col min="4866" max="4866" width="11.75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5.375" bestFit="1" customWidth="1"/>
    <col min="5122" max="5122" width="11.75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5.375" bestFit="1" customWidth="1"/>
    <col min="5378" max="5378" width="11.75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5.375" bestFit="1" customWidth="1"/>
    <col min="5634" max="5634" width="11.75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5.375" bestFit="1" customWidth="1"/>
    <col min="5890" max="5890" width="11.75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5.375" bestFit="1" customWidth="1"/>
    <col min="6146" max="6146" width="11.75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5.375" bestFit="1" customWidth="1"/>
    <col min="6402" max="6402" width="11.75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5.375" bestFit="1" customWidth="1"/>
    <col min="6658" max="6658" width="11.75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5.375" bestFit="1" customWidth="1"/>
    <col min="6914" max="6914" width="11.75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5.375" bestFit="1" customWidth="1"/>
    <col min="7170" max="7170" width="11.75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5.375" bestFit="1" customWidth="1"/>
    <col min="7426" max="7426" width="11.75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5.375" bestFit="1" customWidth="1"/>
    <col min="7682" max="7682" width="11.75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5.375" bestFit="1" customWidth="1"/>
    <col min="7938" max="7938" width="11.75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5.375" bestFit="1" customWidth="1"/>
    <col min="8194" max="8194" width="11.75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5.375" bestFit="1" customWidth="1"/>
    <col min="8450" max="8450" width="11.75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5.375" bestFit="1" customWidth="1"/>
    <col min="8706" max="8706" width="11.75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5.375" bestFit="1" customWidth="1"/>
    <col min="8962" max="8962" width="11.75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5.375" bestFit="1" customWidth="1"/>
    <col min="9218" max="9218" width="11.75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5.375" bestFit="1" customWidth="1"/>
    <col min="9474" max="9474" width="11.75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5.375" bestFit="1" customWidth="1"/>
    <col min="9730" max="9730" width="11.75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5.375" bestFit="1" customWidth="1"/>
    <col min="9986" max="9986" width="11.75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5.375" bestFit="1" customWidth="1"/>
    <col min="10242" max="10242" width="11.75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5.375" bestFit="1" customWidth="1"/>
    <col min="10498" max="10498" width="11.75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5.375" bestFit="1" customWidth="1"/>
    <col min="10754" max="10754" width="11.75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5.375" bestFit="1" customWidth="1"/>
    <col min="11010" max="11010" width="11.75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5.375" bestFit="1" customWidth="1"/>
    <col min="11266" max="11266" width="11.75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5.375" bestFit="1" customWidth="1"/>
    <col min="11522" max="11522" width="11.75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5.375" bestFit="1" customWidth="1"/>
    <col min="11778" max="11778" width="11.75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5.375" bestFit="1" customWidth="1"/>
    <col min="12034" max="12034" width="11.75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5.375" bestFit="1" customWidth="1"/>
    <col min="12290" max="12290" width="11.75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5.375" bestFit="1" customWidth="1"/>
    <col min="12546" max="12546" width="11.75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5.375" bestFit="1" customWidth="1"/>
    <col min="12802" max="12802" width="11.75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5.375" bestFit="1" customWidth="1"/>
    <col min="13058" max="13058" width="11.75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5.375" bestFit="1" customWidth="1"/>
    <col min="13314" max="13314" width="11.75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5.375" bestFit="1" customWidth="1"/>
    <col min="13570" max="13570" width="11.75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5.375" bestFit="1" customWidth="1"/>
    <col min="13826" max="13826" width="11.75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5.375" bestFit="1" customWidth="1"/>
    <col min="14082" max="14082" width="11.75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5.375" bestFit="1" customWidth="1"/>
    <col min="14338" max="14338" width="11.75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5.375" bestFit="1" customWidth="1"/>
    <col min="14594" max="14594" width="11.75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5.375" bestFit="1" customWidth="1"/>
    <col min="14850" max="14850" width="11.75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5.375" bestFit="1" customWidth="1"/>
    <col min="15106" max="15106" width="11.75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5.375" bestFit="1" customWidth="1"/>
    <col min="15362" max="15362" width="11.75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5.375" bestFit="1" customWidth="1"/>
    <col min="15618" max="15618" width="11.75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5.375" bestFit="1" customWidth="1"/>
    <col min="15874" max="15874" width="11.75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5.375" bestFit="1" customWidth="1"/>
    <col min="16130" max="16130" width="11.75" bestFit="1" customWidth="1"/>
    <col min="16131" max="16131" width="11.875" bestFit="1" customWidth="1"/>
  </cols>
  <sheetData>
    <row r="1" spans="1:11" ht="15" x14ac:dyDescent="0.25">
      <c r="A1" s="91" t="s">
        <v>237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s="50" customForma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11" x14ac:dyDescent="0.2">
      <c r="A3" t="s">
        <v>0</v>
      </c>
      <c r="B3" t="s">
        <v>1</v>
      </c>
      <c r="C3" t="s">
        <v>2</v>
      </c>
    </row>
    <row r="4" spans="1:11" ht="15" x14ac:dyDescent="0.25">
      <c r="A4" s="9" t="s">
        <v>51</v>
      </c>
    </row>
    <row r="5" spans="1:11" ht="15" x14ac:dyDescent="0.25">
      <c r="A5" s="9" t="s">
        <v>52</v>
      </c>
    </row>
    <row r="6" spans="1:11" x14ac:dyDescent="0.2">
      <c r="A6" s="62"/>
      <c r="B6" s="56"/>
      <c r="C6" s="16">
        <f>B6/$B$56</f>
        <v>0</v>
      </c>
    </row>
    <row r="7" spans="1:11" ht="15" x14ac:dyDescent="0.25">
      <c r="A7" s="28" t="s">
        <v>54</v>
      </c>
      <c r="B7" s="29">
        <f>SUM(B6)</f>
        <v>0</v>
      </c>
      <c r="C7" s="31">
        <f>SUM(C6)</f>
        <v>0</v>
      </c>
    </row>
    <row r="8" spans="1:11" ht="15" x14ac:dyDescent="0.25">
      <c r="A8" s="9" t="s">
        <v>55</v>
      </c>
      <c r="B8" s="14"/>
      <c r="C8" s="16"/>
    </row>
    <row r="9" spans="1:11" x14ac:dyDescent="0.2">
      <c r="A9" s="75" t="s">
        <v>63</v>
      </c>
      <c r="B9" s="56">
        <v>826.78</v>
      </c>
      <c r="C9" s="16">
        <f t="shared" ref="C9:C16" si="0">B9/$B$56</f>
        <v>2.8203514168084759E-4</v>
      </c>
    </row>
    <row r="10" spans="1:11" x14ac:dyDescent="0.2">
      <c r="A10" s="75" t="s">
        <v>56</v>
      </c>
      <c r="B10" s="56">
        <v>46.59</v>
      </c>
      <c r="C10" s="16">
        <f t="shared" si="0"/>
        <v>1.5893003278877924E-5</v>
      </c>
    </row>
    <row r="11" spans="1:11" x14ac:dyDescent="0.2">
      <c r="A11" s="75" t="s">
        <v>119</v>
      </c>
      <c r="B11" s="56">
        <v>12.45</v>
      </c>
      <c r="C11" s="16">
        <f t="shared" si="0"/>
        <v>4.2470034518572686E-6</v>
      </c>
    </row>
    <row r="12" spans="1:11" x14ac:dyDescent="0.2">
      <c r="A12" s="75" t="s">
        <v>229</v>
      </c>
      <c r="B12" s="56">
        <v>0</v>
      </c>
      <c r="C12" s="16">
        <f t="shared" si="0"/>
        <v>0</v>
      </c>
    </row>
    <row r="13" spans="1:11" x14ac:dyDescent="0.2">
      <c r="A13" s="75" t="s">
        <v>170</v>
      </c>
      <c r="B13" s="56">
        <v>1.1399999999999999</v>
      </c>
      <c r="C13" s="16">
        <f t="shared" si="0"/>
        <v>3.8888224378452092E-7</v>
      </c>
    </row>
    <row r="14" spans="1:11" s="55" customFormat="1" x14ac:dyDescent="0.2">
      <c r="A14" s="75" t="s">
        <v>189</v>
      </c>
      <c r="B14" s="56">
        <v>0</v>
      </c>
      <c r="C14" s="16">
        <f t="shared" si="0"/>
        <v>0</v>
      </c>
    </row>
    <row r="15" spans="1:11" s="55" customFormat="1" x14ac:dyDescent="0.2">
      <c r="A15" s="75" t="s">
        <v>188</v>
      </c>
      <c r="B15" s="56">
        <v>0</v>
      </c>
      <c r="C15" s="16">
        <f t="shared" si="0"/>
        <v>0</v>
      </c>
    </row>
    <row r="16" spans="1:11" s="55" customFormat="1" x14ac:dyDescent="0.2">
      <c r="A16" s="75" t="s">
        <v>230</v>
      </c>
      <c r="B16" s="56">
        <v>0</v>
      </c>
      <c r="C16" s="16">
        <f t="shared" si="0"/>
        <v>0</v>
      </c>
    </row>
    <row r="17" spans="1:3" s="55" customFormat="1" x14ac:dyDescent="0.2">
      <c r="A17" s="75" t="s">
        <v>220</v>
      </c>
      <c r="B17" s="56">
        <v>0</v>
      </c>
      <c r="C17" s="16">
        <f t="shared" ref="C17:C26" si="1">B17/$B$56</f>
        <v>0</v>
      </c>
    </row>
    <row r="18" spans="1:3" s="56" customFormat="1" x14ac:dyDescent="0.2">
      <c r="A18" s="75" t="s">
        <v>190</v>
      </c>
      <c r="B18" s="56">
        <v>3.48</v>
      </c>
      <c r="C18" s="16">
        <f t="shared" si="1"/>
        <v>1.1871142178685377E-6</v>
      </c>
    </row>
    <row r="19" spans="1:3" s="56" customFormat="1" x14ac:dyDescent="0.2">
      <c r="A19" s="75" t="s">
        <v>171</v>
      </c>
      <c r="B19" s="56">
        <v>2.5099999999999998</v>
      </c>
      <c r="C19" s="16">
        <f t="shared" si="1"/>
        <v>8.562231858764452E-7</v>
      </c>
    </row>
    <row r="20" spans="1:3" s="56" customFormat="1" x14ac:dyDescent="0.2">
      <c r="A20" s="75" t="s">
        <v>221</v>
      </c>
      <c r="B20" s="56">
        <v>0</v>
      </c>
      <c r="C20" s="16">
        <f t="shared" si="1"/>
        <v>0</v>
      </c>
    </row>
    <row r="21" spans="1:3" s="56" customFormat="1" x14ac:dyDescent="0.2">
      <c r="A21" s="75" t="s">
        <v>232</v>
      </c>
      <c r="B21" s="56">
        <v>0</v>
      </c>
      <c r="C21" s="16">
        <f t="shared" si="1"/>
        <v>0</v>
      </c>
    </row>
    <row r="22" spans="1:3" s="56" customFormat="1" x14ac:dyDescent="0.2">
      <c r="A22" s="75" t="s">
        <v>160</v>
      </c>
      <c r="B22" s="56">
        <v>11.19</v>
      </c>
      <c r="C22" s="16">
        <f t="shared" si="1"/>
        <v>3.8171862350427978E-6</v>
      </c>
    </row>
    <row r="23" spans="1:3" s="56" customFormat="1" x14ac:dyDescent="0.2">
      <c r="A23" s="75" t="s">
        <v>231</v>
      </c>
      <c r="B23" s="56">
        <v>0</v>
      </c>
      <c r="C23" s="16">
        <f t="shared" si="1"/>
        <v>0</v>
      </c>
    </row>
    <row r="24" spans="1:3" s="56" customFormat="1" x14ac:dyDescent="0.2">
      <c r="A24" s="75" t="s">
        <v>219</v>
      </c>
      <c r="B24" s="56">
        <v>0</v>
      </c>
      <c r="C24" s="16">
        <f t="shared" si="1"/>
        <v>0</v>
      </c>
    </row>
    <row r="25" spans="1:3" s="56" customFormat="1" x14ac:dyDescent="0.2">
      <c r="A25" s="75" t="s">
        <v>205</v>
      </c>
      <c r="B25" s="56">
        <v>11.6</v>
      </c>
      <c r="C25" s="16">
        <f t="shared" si="1"/>
        <v>3.9570473928951253E-6</v>
      </c>
    </row>
    <row r="26" spans="1:3" s="55" customFormat="1" x14ac:dyDescent="0.2">
      <c r="A26" s="75" t="s">
        <v>57</v>
      </c>
      <c r="B26" s="56">
        <v>0.79</v>
      </c>
      <c r="C26" s="16">
        <f t="shared" si="1"/>
        <v>2.6948857244716804E-7</v>
      </c>
    </row>
    <row r="27" spans="1:3" ht="15" x14ac:dyDescent="0.25">
      <c r="A27" s="28" t="s">
        <v>58</v>
      </c>
      <c r="B27" s="29">
        <f>SUM(B9:B26)</f>
        <v>916.53000000000009</v>
      </c>
      <c r="C27" s="31">
        <f>SUM(C9:C26)</f>
        <v>3.1265109025949736E-4</v>
      </c>
    </row>
    <row r="28" spans="1:3" ht="15" x14ac:dyDescent="0.25">
      <c r="A28" s="36" t="s">
        <v>59</v>
      </c>
      <c r="B28" s="37">
        <f>SUM(B7,B27)</f>
        <v>916.53000000000009</v>
      </c>
      <c r="C28" s="38">
        <f>B28/$B$56</f>
        <v>3.1265109025949741E-4</v>
      </c>
    </row>
    <row r="29" spans="1:3" ht="15" x14ac:dyDescent="0.25">
      <c r="A29" s="9" t="s">
        <v>60</v>
      </c>
      <c r="B29" s="14"/>
      <c r="C29" s="16"/>
    </row>
    <row r="30" spans="1:3" ht="15" x14ac:dyDescent="0.25">
      <c r="A30" s="9" t="s">
        <v>52</v>
      </c>
      <c r="B30" s="14"/>
      <c r="C30" s="16"/>
    </row>
    <row r="31" spans="1:3" x14ac:dyDescent="0.2">
      <c r="A31" s="72" t="s">
        <v>61</v>
      </c>
      <c r="B31" s="56">
        <v>0</v>
      </c>
      <c r="C31" s="16">
        <f>B31/$B$56</f>
        <v>0</v>
      </c>
    </row>
    <row r="32" spans="1:3" x14ac:dyDescent="0.2">
      <c r="A32" s="72" t="s">
        <v>62</v>
      </c>
      <c r="B32" s="56">
        <v>0</v>
      </c>
      <c r="C32" s="16">
        <f>B32/$B$56</f>
        <v>0</v>
      </c>
    </row>
    <row r="33" spans="1:3" x14ac:dyDescent="0.2">
      <c r="A33" s="72" t="s">
        <v>12</v>
      </c>
      <c r="B33" s="56">
        <v>0</v>
      </c>
      <c r="C33" s="16">
        <f>B33/$B$56</f>
        <v>0</v>
      </c>
    </row>
    <row r="34" spans="1:3" ht="15" x14ac:dyDescent="0.25">
      <c r="A34" s="28" t="s">
        <v>54</v>
      </c>
      <c r="B34" s="29">
        <f>SUM(B31:B33)</f>
        <v>0</v>
      </c>
      <c r="C34" s="31">
        <f>B34/$B$56</f>
        <v>0</v>
      </c>
    </row>
    <row r="35" spans="1:3" ht="15" x14ac:dyDescent="0.25">
      <c r="A35" s="9" t="s">
        <v>55</v>
      </c>
      <c r="B35" s="14"/>
      <c r="C35" s="16"/>
    </row>
    <row r="36" spans="1:3" x14ac:dyDescent="0.2">
      <c r="A36" s="72" t="s">
        <v>63</v>
      </c>
      <c r="B36" s="56">
        <v>118.21</v>
      </c>
      <c r="C36" s="16">
        <f>B36/$B$56</f>
        <v>4.0324359682252822E-5</v>
      </c>
    </row>
    <row r="37" spans="1:3" ht="15" x14ac:dyDescent="0.25">
      <c r="A37" s="28" t="s">
        <v>58</v>
      </c>
      <c r="B37" s="29">
        <f>SUM(B36)</f>
        <v>118.21</v>
      </c>
      <c r="C37" s="31">
        <f>B37/$B$56</f>
        <v>4.0324359682252822E-5</v>
      </c>
    </row>
    <row r="38" spans="1:3" ht="15" x14ac:dyDescent="0.25">
      <c r="A38" s="36" t="s">
        <v>64</v>
      </c>
      <c r="B38" s="37">
        <f>SUM(B34,B37)</f>
        <v>118.21</v>
      </c>
      <c r="C38" s="38">
        <f>B38/$B$56</f>
        <v>4.0324359682252822E-5</v>
      </c>
    </row>
    <row r="39" spans="1:3" ht="15" x14ac:dyDescent="0.25">
      <c r="A39" s="9" t="s">
        <v>65</v>
      </c>
      <c r="B39" s="14"/>
      <c r="C39" s="16"/>
    </row>
    <row r="40" spans="1:3" x14ac:dyDescent="0.2">
      <c r="A40" s="62" t="s">
        <v>63</v>
      </c>
      <c r="B40" s="14">
        <v>0</v>
      </c>
      <c r="C40" s="16">
        <f>B40/$B$56</f>
        <v>0</v>
      </c>
    </row>
    <row r="41" spans="1:3" ht="15" x14ac:dyDescent="0.25">
      <c r="A41" s="28" t="s">
        <v>66</v>
      </c>
      <c r="B41" s="29">
        <f>SUM(B40)</f>
        <v>0</v>
      </c>
      <c r="C41" s="31">
        <f>B41/$B$56</f>
        <v>0</v>
      </c>
    </row>
    <row r="42" spans="1:3" ht="15" x14ac:dyDescent="0.25">
      <c r="A42" s="9" t="s">
        <v>67</v>
      </c>
      <c r="B42" s="14"/>
      <c r="C42" s="16"/>
    </row>
    <row r="43" spans="1:3" x14ac:dyDescent="0.2">
      <c r="A43" s="10" t="s">
        <v>10</v>
      </c>
      <c r="B43" s="14">
        <v>0</v>
      </c>
      <c r="C43" s="16">
        <f>B43/$B$56</f>
        <v>0</v>
      </c>
    </row>
    <row r="44" spans="1:3" x14ac:dyDescent="0.2">
      <c r="A44" s="10" t="s">
        <v>11</v>
      </c>
      <c r="B44" s="14">
        <v>0</v>
      </c>
      <c r="C44" s="16">
        <f>B44/$B$56</f>
        <v>0</v>
      </c>
    </row>
    <row r="45" spans="1:3" x14ac:dyDescent="0.2">
      <c r="A45" s="10" t="s">
        <v>12</v>
      </c>
      <c r="B45" s="14">
        <v>0</v>
      </c>
      <c r="C45" s="16">
        <f>B45/$B$56</f>
        <v>0</v>
      </c>
    </row>
    <row r="46" spans="1:3" ht="15" x14ac:dyDescent="0.25">
      <c r="A46" s="28" t="s">
        <v>68</v>
      </c>
      <c r="B46" s="29">
        <f>SUM(B43:B45)</f>
        <v>0</v>
      </c>
      <c r="C46" s="31">
        <f>B46/$B$56</f>
        <v>0</v>
      </c>
    </row>
    <row r="47" spans="1:3" ht="15" x14ac:dyDescent="0.25">
      <c r="A47" s="9" t="s">
        <v>69</v>
      </c>
      <c r="B47" s="14"/>
      <c r="C47" s="16"/>
    </row>
    <row r="48" spans="1:3" x14ac:dyDescent="0.2">
      <c r="A48" s="10" t="s">
        <v>10</v>
      </c>
      <c r="B48" s="14">
        <v>0</v>
      </c>
      <c r="C48" s="16">
        <f>B48/$B$56</f>
        <v>0</v>
      </c>
    </row>
    <row r="49" spans="1:3" x14ac:dyDescent="0.2">
      <c r="A49" s="10" t="s">
        <v>12</v>
      </c>
      <c r="B49" s="14">
        <v>0</v>
      </c>
      <c r="C49" s="16">
        <f>B49/$B$56</f>
        <v>0</v>
      </c>
    </row>
    <row r="50" spans="1:3" ht="15" x14ac:dyDescent="0.25">
      <c r="A50" s="28" t="s">
        <v>70</v>
      </c>
      <c r="B50" s="29">
        <f>SUM(B48:B49)</f>
        <v>0</v>
      </c>
      <c r="C50" s="31">
        <f>B50/$B$56</f>
        <v>0</v>
      </c>
    </row>
    <row r="51" spans="1:3" ht="15" x14ac:dyDescent="0.25">
      <c r="A51" s="9" t="s">
        <v>71</v>
      </c>
      <c r="B51" s="14"/>
      <c r="C51" s="16"/>
    </row>
    <row r="52" spans="1:3" x14ac:dyDescent="0.2">
      <c r="A52" s="10" t="s">
        <v>10</v>
      </c>
      <c r="B52" s="14">
        <v>0</v>
      </c>
      <c r="C52" s="16">
        <f>B52/$B$56</f>
        <v>0</v>
      </c>
    </row>
    <row r="53" spans="1:3" x14ac:dyDescent="0.2">
      <c r="A53" s="10" t="s">
        <v>12</v>
      </c>
      <c r="B53" s="14">
        <v>0</v>
      </c>
      <c r="C53" s="16">
        <f>B53/$B$56</f>
        <v>0</v>
      </c>
    </row>
    <row r="54" spans="1:3" ht="15" x14ac:dyDescent="0.25">
      <c r="A54" s="28" t="s">
        <v>72</v>
      </c>
      <c r="B54" s="29">
        <f>SUM(B52:B53)</f>
        <v>0</v>
      </c>
      <c r="C54" s="31">
        <f>B54/$B$56</f>
        <v>0</v>
      </c>
    </row>
    <row r="55" spans="1:3" ht="15" x14ac:dyDescent="0.25">
      <c r="A55" s="9" t="s">
        <v>73</v>
      </c>
      <c r="B55" s="15">
        <f>SUM(B28,B38,B41,B46,B50,B54)</f>
        <v>1034.74</v>
      </c>
      <c r="C55" s="17">
        <f>B55/$B$56</f>
        <v>3.529754499417502E-4</v>
      </c>
    </row>
    <row r="56" spans="1:3" ht="15" x14ac:dyDescent="0.25">
      <c r="A56" s="9" t="s">
        <v>50</v>
      </c>
      <c r="B56" s="76">
        <f>'נספח 3 - כללי'!B140</f>
        <v>2931478.6628100001</v>
      </c>
      <c r="C56" s="17">
        <f>B56/$B$56</f>
        <v>1</v>
      </c>
    </row>
    <row r="57" spans="1:3" ht="15" x14ac:dyDescent="0.25">
      <c r="A57" s="9" t="s">
        <v>74</v>
      </c>
      <c r="B57" s="1" t="s">
        <v>75</v>
      </c>
      <c r="C57" s="1" t="s">
        <v>76</v>
      </c>
    </row>
  </sheetData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rightToLeft="1" zoomScale="85" zoomScaleNormal="85" workbookViewId="0">
      <selection activeCell="B10" sqref="B10"/>
    </sheetView>
  </sheetViews>
  <sheetFormatPr defaultRowHeight="14.25" x14ac:dyDescent="0.2"/>
  <cols>
    <col min="1" max="1" width="55.375" bestFit="1" customWidth="1"/>
    <col min="2" max="2" width="11.375" bestFit="1" customWidth="1"/>
    <col min="3" max="3" width="11.875" bestFit="1" customWidth="1"/>
    <col min="255" max="255" width="10.75" bestFit="1" customWidth="1"/>
    <col min="256" max="256" width="9" bestFit="1" customWidth="1"/>
    <col min="257" max="257" width="55.375" bestFit="1" customWidth="1"/>
    <col min="258" max="258" width="10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5.375" bestFit="1" customWidth="1"/>
    <col min="514" max="514" width="10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5.375" bestFit="1" customWidth="1"/>
    <col min="770" max="770" width="10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5.375" bestFit="1" customWidth="1"/>
    <col min="1026" max="1026" width="10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5.375" bestFit="1" customWidth="1"/>
    <col min="1282" max="1282" width="10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5.375" bestFit="1" customWidth="1"/>
    <col min="1538" max="1538" width="10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5.375" bestFit="1" customWidth="1"/>
    <col min="1794" max="1794" width="10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5.375" bestFit="1" customWidth="1"/>
    <col min="2050" max="2050" width="10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5.375" bestFit="1" customWidth="1"/>
    <col min="2306" max="2306" width="10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5.375" bestFit="1" customWidth="1"/>
    <col min="2562" max="2562" width="10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5.375" bestFit="1" customWidth="1"/>
    <col min="2818" max="2818" width="10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5.375" bestFit="1" customWidth="1"/>
    <col min="3074" max="3074" width="10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5.375" bestFit="1" customWidth="1"/>
    <col min="3330" max="3330" width="10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5.375" bestFit="1" customWidth="1"/>
    <col min="3586" max="3586" width="10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5.375" bestFit="1" customWidth="1"/>
    <col min="3842" max="3842" width="10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5.375" bestFit="1" customWidth="1"/>
    <col min="4098" max="4098" width="10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5.375" bestFit="1" customWidth="1"/>
    <col min="4354" max="4354" width="10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5.375" bestFit="1" customWidth="1"/>
    <col min="4610" max="4610" width="10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5.375" bestFit="1" customWidth="1"/>
    <col min="4866" max="4866" width="10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5.375" bestFit="1" customWidth="1"/>
    <col min="5122" max="5122" width="10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5.375" bestFit="1" customWidth="1"/>
    <col min="5378" max="5378" width="10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5.375" bestFit="1" customWidth="1"/>
    <col min="5634" max="5634" width="10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5.375" bestFit="1" customWidth="1"/>
    <col min="5890" max="5890" width="10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5.375" bestFit="1" customWidth="1"/>
    <col min="6146" max="6146" width="10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5.375" bestFit="1" customWidth="1"/>
    <col min="6402" max="6402" width="10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5.375" bestFit="1" customWidth="1"/>
    <col min="6658" max="6658" width="10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5.375" bestFit="1" customWidth="1"/>
    <col min="6914" max="6914" width="10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5.375" bestFit="1" customWidth="1"/>
    <col min="7170" max="7170" width="10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5.375" bestFit="1" customWidth="1"/>
    <col min="7426" max="7426" width="10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5.375" bestFit="1" customWidth="1"/>
    <col min="7682" max="7682" width="10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5.375" bestFit="1" customWidth="1"/>
    <col min="7938" max="7938" width="10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5.375" bestFit="1" customWidth="1"/>
    <col min="8194" max="8194" width="10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5.375" bestFit="1" customWidth="1"/>
    <col min="8450" max="8450" width="10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5.375" bestFit="1" customWidth="1"/>
    <col min="8706" max="8706" width="10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5.375" bestFit="1" customWidth="1"/>
    <col min="8962" max="8962" width="10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5.375" bestFit="1" customWidth="1"/>
    <col min="9218" max="9218" width="10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5.375" bestFit="1" customWidth="1"/>
    <col min="9474" max="9474" width="10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5.375" bestFit="1" customWidth="1"/>
    <col min="9730" max="9730" width="10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5.375" bestFit="1" customWidth="1"/>
    <col min="9986" max="9986" width="10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5.375" bestFit="1" customWidth="1"/>
    <col min="10242" max="10242" width="10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5.375" bestFit="1" customWidth="1"/>
    <col min="10498" max="10498" width="10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5.375" bestFit="1" customWidth="1"/>
    <col min="10754" max="10754" width="10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5.375" bestFit="1" customWidth="1"/>
    <col min="11010" max="11010" width="10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5.375" bestFit="1" customWidth="1"/>
    <col min="11266" max="11266" width="10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5.375" bestFit="1" customWidth="1"/>
    <col min="11522" max="11522" width="10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5.375" bestFit="1" customWidth="1"/>
    <col min="11778" max="11778" width="10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5.375" bestFit="1" customWidth="1"/>
    <col min="12034" max="12034" width="10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5.375" bestFit="1" customWidth="1"/>
    <col min="12290" max="12290" width="10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5.375" bestFit="1" customWidth="1"/>
    <col min="12546" max="12546" width="10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5.375" bestFit="1" customWidth="1"/>
    <col min="12802" max="12802" width="10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5.375" bestFit="1" customWidth="1"/>
    <col min="13058" max="13058" width="10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5.375" bestFit="1" customWidth="1"/>
    <col min="13314" max="13314" width="10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5.375" bestFit="1" customWidth="1"/>
    <col min="13570" max="13570" width="10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5.375" bestFit="1" customWidth="1"/>
    <col min="13826" max="13826" width="10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5.375" bestFit="1" customWidth="1"/>
    <col min="14082" max="14082" width="10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5.375" bestFit="1" customWidth="1"/>
    <col min="14338" max="14338" width="10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5.375" bestFit="1" customWidth="1"/>
    <col min="14594" max="14594" width="10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5.375" bestFit="1" customWidth="1"/>
    <col min="14850" max="14850" width="10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5.375" bestFit="1" customWidth="1"/>
    <col min="15106" max="15106" width="10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5.375" bestFit="1" customWidth="1"/>
    <col min="15362" max="15362" width="10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5.375" bestFit="1" customWidth="1"/>
    <col min="15618" max="15618" width="10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5.375" bestFit="1" customWidth="1"/>
    <col min="15874" max="15874" width="10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5.375" bestFit="1" customWidth="1"/>
    <col min="16130" max="16130" width="10" bestFit="1" customWidth="1"/>
    <col min="16131" max="16131" width="11.875" bestFit="1" customWidth="1"/>
  </cols>
  <sheetData>
    <row r="1" spans="1:11" ht="15" x14ac:dyDescent="0.25">
      <c r="A1" s="91" t="s">
        <v>238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s="50" customFormat="1" ht="15" x14ac:dyDescent="0.25">
      <c r="A2" s="52"/>
      <c r="B2" s="53"/>
      <c r="C2" s="53"/>
      <c r="D2" s="53"/>
      <c r="E2" s="53"/>
      <c r="F2" s="53"/>
      <c r="G2" s="53"/>
      <c r="H2" s="53"/>
      <c r="I2" s="53"/>
      <c r="J2" s="53"/>
    </row>
    <row r="3" spans="1:11" x14ac:dyDescent="0.2">
      <c r="A3" t="s">
        <v>0</v>
      </c>
      <c r="B3" t="s">
        <v>1</v>
      </c>
      <c r="C3" t="s">
        <v>2</v>
      </c>
    </row>
    <row r="4" spans="1:11" ht="15" x14ac:dyDescent="0.25">
      <c r="A4" s="9" t="s">
        <v>51</v>
      </c>
    </row>
    <row r="5" spans="1:11" ht="15" x14ac:dyDescent="0.25">
      <c r="A5" s="9" t="s">
        <v>52</v>
      </c>
    </row>
    <row r="6" spans="1:11" x14ac:dyDescent="0.2">
      <c r="A6" s="10" t="s">
        <v>53</v>
      </c>
      <c r="B6" s="14">
        <v>0</v>
      </c>
      <c r="C6" s="16">
        <f>B6/$B$39</f>
        <v>0</v>
      </c>
    </row>
    <row r="7" spans="1:11" ht="15" x14ac:dyDescent="0.25">
      <c r="A7" s="28" t="s">
        <v>54</v>
      </c>
      <c r="B7" s="29">
        <f>SUM(B6)</f>
        <v>0</v>
      </c>
      <c r="C7" s="31">
        <f>B7/$B$39</f>
        <v>0</v>
      </c>
    </row>
    <row r="8" spans="1:11" ht="15" x14ac:dyDescent="0.25">
      <c r="A8" s="9" t="s">
        <v>55</v>
      </c>
      <c r="B8" s="14"/>
      <c r="C8" s="16"/>
    </row>
    <row r="9" spans="1:11" x14ac:dyDescent="0.2">
      <c r="A9" s="70" t="s">
        <v>63</v>
      </c>
      <c r="B9" s="56">
        <v>11.32</v>
      </c>
      <c r="C9" s="16">
        <f t="shared" ref="C9:C39" si="0">B9/$B$39</f>
        <v>1.5728719057010496E-4</v>
      </c>
    </row>
    <row r="10" spans="1:11" ht="15" x14ac:dyDescent="0.25">
      <c r="A10" s="28" t="s">
        <v>58</v>
      </c>
      <c r="B10" s="29">
        <f>SUM(B9)</f>
        <v>11.32</v>
      </c>
      <c r="C10" s="31">
        <f>B10/$B$39</f>
        <v>1.5728719057010496E-4</v>
      </c>
    </row>
    <row r="11" spans="1:11" ht="15" x14ac:dyDescent="0.25">
      <c r="A11" s="36" t="s">
        <v>59</v>
      </c>
      <c r="B11" s="37">
        <f>SUM(B7,B10)</f>
        <v>11.32</v>
      </c>
      <c r="C11" s="38">
        <f t="shared" si="0"/>
        <v>1.5728719057010496E-4</v>
      </c>
    </row>
    <row r="12" spans="1:11" ht="15" x14ac:dyDescent="0.25">
      <c r="A12" s="9" t="s">
        <v>60</v>
      </c>
      <c r="B12" s="14"/>
      <c r="C12" s="16"/>
    </row>
    <row r="13" spans="1:11" ht="15" x14ac:dyDescent="0.25">
      <c r="A13" s="9" t="s">
        <v>52</v>
      </c>
      <c r="B13" s="14"/>
      <c r="C13" s="16"/>
    </row>
    <row r="14" spans="1:11" x14ac:dyDescent="0.2">
      <c r="A14" s="10" t="s">
        <v>61</v>
      </c>
      <c r="B14" s="14">
        <v>0</v>
      </c>
      <c r="C14" s="16">
        <f t="shared" si="0"/>
        <v>0</v>
      </c>
    </row>
    <row r="15" spans="1:11" x14ac:dyDescent="0.2">
      <c r="A15" s="10" t="s">
        <v>62</v>
      </c>
      <c r="B15" s="14">
        <v>0</v>
      </c>
      <c r="C15" s="16">
        <f t="shared" si="0"/>
        <v>0</v>
      </c>
    </row>
    <row r="16" spans="1:11" x14ac:dyDescent="0.2">
      <c r="A16" s="10" t="s">
        <v>12</v>
      </c>
      <c r="B16" s="14">
        <v>0</v>
      </c>
      <c r="C16" s="16">
        <f t="shared" si="0"/>
        <v>0</v>
      </c>
    </row>
    <row r="17" spans="1:3" ht="15" x14ac:dyDescent="0.25">
      <c r="A17" s="28" t="s">
        <v>54</v>
      </c>
      <c r="B17" s="29">
        <f>SUM(B14:B16)</f>
        <v>0</v>
      </c>
      <c r="C17" s="31">
        <f>B17/$B$39</f>
        <v>0</v>
      </c>
    </row>
    <row r="18" spans="1:3" ht="15" x14ac:dyDescent="0.25">
      <c r="A18" s="9" t="s">
        <v>55</v>
      </c>
      <c r="B18" s="14"/>
      <c r="C18" s="16"/>
    </row>
    <row r="19" spans="1:3" x14ac:dyDescent="0.2">
      <c r="A19" s="70" t="s">
        <v>63</v>
      </c>
      <c r="B19" s="56">
        <v>2.41</v>
      </c>
      <c r="C19" s="16">
        <f t="shared" si="0"/>
        <v>3.3486053822787364E-5</v>
      </c>
    </row>
    <row r="20" spans="1:3" ht="15" x14ac:dyDescent="0.25">
      <c r="A20" s="28" t="s">
        <v>58</v>
      </c>
      <c r="B20" s="29">
        <f>SUM(B19)</f>
        <v>2.41</v>
      </c>
      <c r="C20" s="31">
        <f>B20/$B$39</f>
        <v>3.3486053822787364E-5</v>
      </c>
    </row>
    <row r="21" spans="1:3" ht="15" x14ac:dyDescent="0.25">
      <c r="A21" s="36" t="s">
        <v>64</v>
      </c>
      <c r="B21" s="37">
        <f>SUM(B17,B20)</f>
        <v>2.41</v>
      </c>
      <c r="C21" s="38">
        <f t="shared" si="0"/>
        <v>3.3486053822787364E-5</v>
      </c>
    </row>
    <row r="22" spans="1:3" ht="15" x14ac:dyDescent="0.25">
      <c r="A22" s="9" t="s">
        <v>65</v>
      </c>
      <c r="B22" s="14"/>
      <c r="C22" s="16"/>
    </row>
    <row r="23" spans="1:3" x14ac:dyDescent="0.2">
      <c r="A23" s="10" t="s">
        <v>63</v>
      </c>
      <c r="B23" s="14">
        <v>0</v>
      </c>
      <c r="C23" s="16">
        <f t="shared" si="0"/>
        <v>0</v>
      </c>
    </row>
    <row r="24" spans="1:3" ht="15" x14ac:dyDescent="0.25">
      <c r="A24" s="28" t="s">
        <v>66</v>
      </c>
      <c r="B24" s="29">
        <f>SUM(B23)</f>
        <v>0</v>
      </c>
      <c r="C24" s="31">
        <f>B24/$B$39</f>
        <v>0</v>
      </c>
    </row>
    <row r="25" spans="1:3" ht="15" x14ac:dyDescent="0.25">
      <c r="A25" s="9" t="s">
        <v>67</v>
      </c>
      <c r="B25" s="14"/>
      <c r="C25" s="16"/>
    </row>
    <row r="26" spans="1:3" x14ac:dyDescent="0.2">
      <c r="A26" s="10" t="s">
        <v>10</v>
      </c>
      <c r="B26" s="14">
        <v>0</v>
      </c>
      <c r="C26" s="16">
        <f t="shared" si="0"/>
        <v>0</v>
      </c>
    </row>
    <row r="27" spans="1:3" x14ac:dyDescent="0.2">
      <c r="A27" s="10" t="s">
        <v>11</v>
      </c>
      <c r="B27" s="14">
        <v>0</v>
      </c>
      <c r="C27" s="16">
        <f t="shared" si="0"/>
        <v>0</v>
      </c>
    </row>
    <row r="28" spans="1:3" x14ac:dyDescent="0.2">
      <c r="A28" s="10" t="s">
        <v>12</v>
      </c>
      <c r="B28" s="14">
        <v>0</v>
      </c>
      <c r="C28" s="16">
        <f t="shared" si="0"/>
        <v>0</v>
      </c>
    </row>
    <row r="29" spans="1:3" ht="15" x14ac:dyDescent="0.25">
      <c r="A29" s="28" t="s">
        <v>68</v>
      </c>
      <c r="B29" s="29">
        <f>SUM(B26:B28)</f>
        <v>0</v>
      </c>
      <c r="C29" s="31">
        <f>B29/$B$39</f>
        <v>0</v>
      </c>
    </row>
    <row r="30" spans="1:3" ht="15" x14ac:dyDescent="0.25">
      <c r="A30" s="9" t="s">
        <v>69</v>
      </c>
      <c r="B30" s="14"/>
      <c r="C30" s="16"/>
    </row>
    <row r="31" spans="1:3" x14ac:dyDescent="0.2">
      <c r="A31" s="10" t="s">
        <v>10</v>
      </c>
      <c r="B31" s="14">
        <v>0</v>
      </c>
      <c r="C31" s="16">
        <f t="shared" si="0"/>
        <v>0</v>
      </c>
    </row>
    <row r="32" spans="1:3" x14ac:dyDescent="0.2">
      <c r="A32" s="10" t="s">
        <v>12</v>
      </c>
      <c r="B32" s="14">
        <v>0</v>
      </c>
      <c r="C32" s="16">
        <f t="shared" si="0"/>
        <v>0</v>
      </c>
    </row>
    <row r="33" spans="1:3" ht="15" x14ac:dyDescent="0.25">
      <c r="A33" s="28" t="s">
        <v>70</v>
      </c>
      <c r="B33" s="29">
        <f>SUM(B31:B32)</f>
        <v>0</v>
      </c>
      <c r="C33" s="31">
        <f>B33/$B$39</f>
        <v>0</v>
      </c>
    </row>
    <row r="34" spans="1:3" ht="15" x14ac:dyDescent="0.25">
      <c r="A34" s="9" t="s">
        <v>71</v>
      </c>
      <c r="B34" s="14"/>
      <c r="C34" s="16"/>
    </row>
    <row r="35" spans="1:3" x14ac:dyDescent="0.2">
      <c r="A35" s="10" t="s">
        <v>10</v>
      </c>
      <c r="B35" s="14">
        <v>0</v>
      </c>
      <c r="C35" s="16">
        <f t="shared" si="0"/>
        <v>0</v>
      </c>
    </row>
    <row r="36" spans="1:3" x14ac:dyDescent="0.2">
      <c r="A36" s="10" t="s">
        <v>12</v>
      </c>
      <c r="B36" s="14">
        <v>0</v>
      </c>
      <c r="C36" s="16">
        <f t="shared" si="0"/>
        <v>0</v>
      </c>
    </row>
    <row r="37" spans="1:3" ht="15" x14ac:dyDescent="0.25">
      <c r="A37" s="28" t="s">
        <v>72</v>
      </c>
      <c r="B37" s="29">
        <f>SUM(B35:B36)</f>
        <v>0</v>
      </c>
      <c r="C37" s="31">
        <f>B37/$B$39</f>
        <v>0</v>
      </c>
    </row>
    <row r="38" spans="1:3" ht="15" x14ac:dyDescent="0.25">
      <c r="A38" s="9" t="s">
        <v>73</v>
      </c>
      <c r="B38" s="15">
        <f>SUM(B11,B21,B24,B29,B33,B37)</f>
        <v>13.73</v>
      </c>
      <c r="C38" s="34">
        <f t="shared" si="0"/>
        <v>1.907732443928923E-4</v>
      </c>
    </row>
    <row r="39" spans="1:3" ht="15" x14ac:dyDescent="0.25">
      <c r="A39" s="9" t="s">
        <v>50</v>
      </c>
      <c r="B39" s="15">
        <f>'נספח 3-אג"ח'!B39</f>
        <v>71970.259999999995</v>
      </c>
      <c r="C39" s="34">
        <f t="shared" si="0"/>
        <v>1</v>
      </c>
    </row>
    <row r="40" spans="1:3" ht="15" x14ac:dyDescent="0.25">
      <c r="A40" s="9" t="s">
        <v>74</v>
      </c>
      <c r="B40" s="1" t="s">
        <v>75</v>
      </c>
      <c r="C40" s="1" t="s">
        <v>76</v>
      </c>
    </row>
  </sheetData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rightToLeft="1" zoomScale="80" zoomScaleNormal="80" workbookViewId="0">
      <selection activeCell="B42" sqref="B42"/>
    </sheetView>
  </sheetViews>
  <sheetFormatPr defaultRowHeight="14.25" x14ac:dyDescent="0.2"/>
  <cols>
    <col min="1" max="1" width="55.375" bestFit="1" customWidth="1"/>
    <col min="2" max="2" width="11.375" bestFit="1" customWidth="1"/>
    <col min="3" max="3" width="11.875" bestFit="1" customWidth="1"/>
    <col min="255" max="255" width="10.75" bestFit="1" customWidth="1"/>
    <col min="256" max="256" width="9" bestFit="1" customWidth="1"/>
    <col min="257" max="257" width="55.375" bestFit="1" customWidth="1"/>
    <col min="258" max="258" width="10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5.375" bestFit="1" customWidth="1"/>
    <col min="514" max="514" width="10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5.375" bestFit="1" customWidth="1"/>
    <col min="770" max="770" width="10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5.375" bestFit="1" customWidth="1"/>
    <col min="1026" max="1026" width="10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5.375" bestFit="1" customWidth="1"/>
    <col min="1282" max="1282" width="10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5.375" bestFit="1" customWidth="1"/>
    <col min="1538" max="1538" width="10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5.375" bestFit="1" customWidth="1"/>
    <col min="1794" max="1794" width="10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5.375" bestFit="1" customWidth="1"/>
    <col min="2050" max="2050" width="10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5.375" bestFit="1" customWidth="1"/>
    <col min="2306" max="2306" width="10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5.375" bestFit="1" customWidth="1"/>
    <col min="2562" max="2562" width="10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5.375" bestFit="1" customWidth="1"/>
    <col min="2818" max="2818" width="10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5.375" bestFit="1" customWidth="1"/>
    <col min="3074" max="3074" width="10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5.375" bestFit="1" customWidth="1"/>
    <col min="3330" max="3330" width="10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5.375" bestFit="1" customWidth="1"/>
    <col min="3586" max="3586" width="10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5.375" bestFit="1" customWidth="1"/>
    <col min="3842" max="3842" width="10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5.375" bestFit="1" customWidth="1"/>
    <col min="4098" max="4098" width="10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5.375" bestFit="1" customWidth="1"/>
    <col min="4354" max="4354" width="10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5.375" bestFit="1" customWidth="1"/>
    <col min="4610" max="4610" width="10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5.375" bestFit="1" customWidth="1"/>
    <col min="4866" max="4866" width="10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5.375" bestFit="1" customWidth="1"/>
    <col min="5122" max="5122" width="10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5.375" bestFit="1" customWidth="1"/>
    <col min="5378" max="5378" width="10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5.375" bestFit="1" customWidth="1"/>
    <col min="5634" max="5634" width="10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5.375" bestFit="1" customWidth="1"/>
    <col min="5890" max="5890" width="10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5.375" bestFit="1" customWidth="1"/>
    <col min="6146" max="6146" width="10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5.375" bestFit="1" customWidth="1"/>
    <col min="6402" max="6402" width="10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5.375" bestFit="1" customWidth="1"/>
    <col min="6658" max="6658" width="10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5.375" bestFit="1" customWidth="1"/>
    <col min="6914" max="6914" width="10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5.375" bestFit="1" customWidth="1"/>
    <col min="7170" max="7170" width="10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5.375" bestFit="1" customWidth="1"/>
    <col min="7426" max="7426" width="10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5.375" bestFit="1" customWidth="1"/>
    <col min="7682" max="7682" width="10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5.375" bestFit="1" customWidth="1"/>
    <col min="7938" max="7938" width="10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5.375" bestFit="1" customWidth="1"/>
    <col min="8194" max="8194" width="10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5.375" bestFit="1" customWidth="1"/>
    <col min="8450" max="8450" width="10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5.375" bestFit="1" customWidth="1"/>
    <col min="8706" max="8706" width="10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5.375" bestFit="1" customWidth="1"/>
    <col min="8962" max="8962" width="10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5.375" bestFit="1" customWidth="1"/>
    <col min="9218" max="9218" width="10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5.375" bestFit="1" customWidth="1"/>
    <col min="9474" max="9474" width="10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5.375" bestFit="1" customWidth="1"/>
    <col min="9730" max="9730" width="10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5.375" bestFit="1" customWidth="1"/>
    <col min="9986" max="9986" width="10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5.375" bestFit="1" customWidth="1"/>
    <col min="10242" max="10242" width="10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5.375" bestFit="1" customWidth="1"/>
    <col min="10498" max="10498" width="10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5.375" bestFit="1" customWidth="1"/>
    <col min="10754" max="10754" width="10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5.375" bestFit="1" customWidth="1"/>
    <col min="11010" max="11010" width="10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5.375" bestFit="1" customWidth="1"/>
    <col min="11266" max="11266" width="10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5.375" bestFit="1" customWidth="1"/>
    <col min="11522" max="11522" width="10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5.375" bestFit="1" customWidth="1"/>
    <col min="11778" max="11778" width="10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5.375" bestFit="1" customWidth="1"/>
    <col min="12034" max="12034" width="10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5.375" bestFit="1" customWidth="1"/>
    <col min="12290" max="12290" width="10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5.375" bestFit="1" customWidth="1"/>
    <col min="12546" max="12546" width="10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5.375" bestFit="1" customWidth="1"/>
    <col min="12802" max="12802" width="10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5.375" bestFit="1" customWidth="1"/>
    <col min="13058" max="13058" width="10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5.375" bestFit="1" customWidth="1"/>
    <col min="13314" max="13314" width="10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5.375" bestFit="1" customWidth="1"/>
    <col min="13570" max="13570" width="10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5.375" bestFit="1" customWidth="1"/>
    <col min="13826" max="13826" width="10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5.375" bestFit="1" customWidth="1"/>
    <col min="14082" max="14082" width="10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5.375" bestFit="1" customWidth="1"/>
    <col min="14338" max="14338" width="10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5.375" bestFit="1" customWidth="1"/>
    <col min="14594" max="14594" width="10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5.375" bestFit="1" customWidth="1"/>
    <col min="14850" max="14850" width="10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5.375" bestFit="1" customWidth="1"/>
    <col min="15106" max="15106" width="10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5.375" bestFit="1" customWidth="1"/>
    <col min="15362" max="15362" width="10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5.375" bestFit="1" customWidth="1"/>
    <col min="15618" max="15618" width="10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5.375" bestFit="1" customWidth="1"/>
    <col min="15874" max="15874" width="10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5.375" bestFit="1" customWidth="1"/>
    <col min="16130" max="16130" width="10" bestFit="1" customWidth="1"/>
    <col min="16131" max="16131" width="11.875" bestFit="1" customWidth="1"/>
  </cols>
  <sheetData>
    <row r="1" spans="1:11" ht="15" x14ac:dyDescent="0.25">
      <c r="A1" s="91" t="s">
        <v>239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s="50" customForma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11" x14ac:dyDescent="0.2">
      <c r="A3" t="s">
        <v>0</v>
      </c>
      <c r="B3" t="s">
        <v>1</v>
      </c>
      <c r="C3" t="s">
        <v>2</v>
      </c>
    </row>
    <row r="4" spans="1:11" ht="15" x14ac:dyDescent="0.25">
      <c r="A4" s="11" t="s">
        <v>51</v>
      </c>
    </row>
    <row r="5" spans="1:11" ht="15" x14ac:dyDescent="0.25">
      <c r="A5" s="11" t="s">
        <v>52</v>
      </c>
    </row>
    <row r="6" spans="1:11" x14ac:dyDescent="0.2">
      <c r="A6" s="12" t="s">
        <v>53</v>
      </c>
      <c r="B6" s="14">
        <v>0</v>
      </c>
      <c r="C6" s="16">
        <f>B6/$B$40</f>
        <v>0</v>
      </c>
    </row>
    <row r="7" spans="1:11" ht="15" x14ac:dyDescent="0.25">
      <c r="A7" s="28" t="s">
        <v>54</v>
      </c>
      <c r="B7" s="40">
        <f>SUM(B6)</f>
        <v>0</v>
      </c>
      <c r="C7" s="31">
        <f>B7/$B$40</f>
        <v>0</v>
      </c>
    </row>
    <row r="8" spans="1:11" ht="15" x14ac:dyDescent="0.25">
      <c r="A8" s="11" t="s">
        <v>55</v>
      </c>
      <c r="B8" s="14"/>
      <c r="C8" s="16"/>
    </row>
    <row r="9" spans="1:11" x14ac:dyDescent="0.2">
      <c r="A9" s="73" t="s">
        <v>63</v>
      </c>
      <c r="B9" s="56">
        <v>10.18</v>
      </c>
      <c r="C9" s="16">
        <f>B9/$B$40</f>
        <v>3.5669780530119395E-4</v>
      </c>
    </row>
    <row r="10" spans="1:11" x14ac:dyDescent="0.2">
      <c r="A10" s="73" t="s">
        <v>56</v>
      </c>
      <c r="B10" s="56">
        <v>1.01</v>
      </c>
      <c r="C10" s="16">
        <f>B10/$B$40</f>
        <v>3.5389467912986829E-5</v>
      </c>
    </row>
    <row r="11" spans="1:11" ht="15" x14ac:dyDescent="0.25">
      <c r="A11" s="28" t="s">
        <v>58</v>
      </c>
      <c r="B11" s="40">
        <f>SUM(B9:B10)</f>
        <v>11.19</v>
      </c>
      <c r="C11" s="31">
        <f>SUM(C9:C10)</f>
        <v>3.9208727321418077E-4</v>
      </c>
    </row>
    <row r="12" spans="1:11" ht="15" x14ac:dyDescent="0.25">
      <c r="A12" s="36" t="s">
        <v>59</v>
      </c>
      <c r="B12" s="37">
        <f>SUM(B7,B11)</f>
        <v>11.19</v>
      </c>
      <c r="C12" s="38">
        <f>B12/$B$40</f>
        <v>3.9208727321418077E-4</v>
      </c>
    </row>
    <row r="13" spans="1:11" ht="15" x14ac:dyDescent="0.25">
      <c r="A13" s="11" t="s">
        <v>60</v>
      </c>
      <c r="B13" s="14"/>
      <c r="C13" s="16"/>
    </row>
    <row r="14" spans="1:11" ht="15" x14ac:dyDescent="0.25">
      <c r="A14" s="11" t="s">
        <v>52</v>
      </c>
      <c r="B14" s="14"/>
      <c r="C14" s="16"/>
    </row>
    <row r="15" spans="1:11" x14ac:dyDescent="0.2">
      <c r="A15" s="12" t="s">
        <v>61</v>
      </c>
      <c r="B15" s="14">
        <v>0</v>
      </c>
      <c r="C15" s="16">
        <f>B15/$B$40</f>
        <v>0</v>
      </c>
    </row>
    <row r="16" spans="1:11" x14ac:dyDescent="0.2">
      <c r="A16" s="12" t="s">
        <v>62</v>
      </c>
      <c r="B16" s="14">
        <v>0</v>
      </c>
      <c r="C16" s="16">
        <f>B16/$B$40</f>
        <v>0</v>
      </c>
    </row>
    <row r="17" spans="1:3" x14ac:dyDescent="0.2">
      <c r="A17" s="12" t="s">
        <v>12</v>
      </c>
      <c r="B17" s="14">
        <v>0</v>
      </c>
      <c r="C17" s="16">
        <f>B17/$B$40</f>
        <v>0</v>
      </c>
    </row>
    <row r="18" spans="1:3" ht="15" x14ac:dyDescent="0.25">
      <c r="A18" s="28" t="s">
        <v>54</v>
      </c>
      <c r="B18" s="40">
        <f>SUM(B15:B17)</f>
        <v>0</v>
      </c>
      <c r="C18" s="31">
        <f>B18/$B$40</f>
        <v>0</v>
      </c>
    </row>
    <row r="19" spans="1:3" ht="15" x14ac:dyDescent="0.25">
      <c r="A19" s="11" t="s">
        <v>55</v>
      </c>
      <c r="B19" s="14"/>
      <c r="C19" s="16"/>
    </row>
    <row r="20" spans="1:3" x14ac:dyDescent="0.2">
      <c r="A20" s="70" t="s">
        <v>63</v>
      </c>
      <c r="B20" s="56">
        <v>2.21</v>
      </c>
      <c r="C20" s="16">
        <f>B20/$B$40</f>
        <v>7.7436360482872172E-5</v>
      </c>
    </row>
    <row r="21" spans="1:3" ht="15" x14ac:dyDescent="0.25">
      <c r="A21" s="28" t="s">
        <v>58</v>
      </c>
      <c r="B21" s="40">
        <f>SUM(B20)</f>
        <v>2.21</v>
      </c>
      <c r="C21" s="31">
        <f>SUM(C20)</f>
        <v>7.7436360482872172E-5</v>
      </c>
    </row>
    <row r="22" spans="1:3" ht="15" x14ac:dyDescent="0.25">
      <c r="A22" s="36" t="s">
        <v>64</v>
      </c>
      <c r="B22" s="37">
        <f>SUM(B18,B21)</f>
        <v>2.21</v>
      </c>
      <c r="C22" s="38">
        <f>B22/$B$40</f>
        <v>7.7436360482872172E-5</v>
      </c>
    </row>
    <row r="23" spans="1:3" ht="15" x14ac:dyDescent="0.25">
      <c r="A23" s="11" t="s">
        <v>65</v>
      </c>
      <c r="B23" s="14"/>
      <c r="C23" s="16"/>
    </row>
    <row r="24" spans="1:3" x14ac:dyDescent="0.2">
      <c r="A24" s="62" t="s">
        <v>63</v>
      </c>
      <c r="B24" s="14">
        <v>0</v>
      </c>
      <c r="C24" s="16">
        <f>B24/$B$40</f>
        <v>0</v>
      </c>
    </row>
    <row r="25" spans="1:3" ht="15" x14ac:dyDescent="0.25">
      <c r="A25" s="28" t="s">
        <v>66</v>
      </c>
      <c r="B25" s="40">
        <f>SUM(B24)</f>
        <v>0</v>
      </c>
      <c r="C25" s="31">
        <f>B25/$B$40</f>
        <v>0</v>
      </c>
    </row>
    <row r="26" spans="1:3" ht="15" x14ac:dyDescent="0.25">
      <c r="A26" s="11" t="s">
        <v>67</v>
      </c>
      <c r="B26" s="14"/>
      <c r="C26" s="16"/>
    </row>
    <row r="27" spans="1:3" x14ac:dyDescent="0.2">
      <c r="A27" s="12" t="s">
        <v>10</v>
      </c>
      <c r="B27" s="14">
        <v>0</v>
      </c>
      <c r="C27" s="16">
        <f>B27/$B$40</f>
        <v>0</v>
      </c>
    </row>
    <row r="28" spans="1:3" x14ac:dyDescent="0.2">
      <c r="A28" s="12" t="s">
        <v>11</v>
      </c>
      <c r="B28" s="14">
        <v>0</v>
      </c>
      <c r="C28" s="16">
        <f>B28/$B$40</f>
        <v>0</v>
      </c>
    </row>
    <row r="29" spans="1:3" x14ac:dyDescent="0.2">
      <c r="A29" s="12" t="s">
        <v>12</v>
      </c>
      <c r="B29" s="14">
        <v>0</v>
      </c>
      <c r="C29" s="16">
        <f>B29/$B$40</f>
        <v>0</v>
      </c>
    </row>
    <row r="30" spans="1:3" ht="15" x14ac:dyDescent="0.25">
      <c r="A30" s="28" t="s">
        <v>68</v>
      </c>
      <c r="B30" s="40">
        <f>SUM(B27:B29)</f>
        <v>0</v>
      </c>
      <c r="C30" s="31">
        <f>B30/$B$40</f>
        <v>0</v>
      </c>
    </row>
    <row r="31" spans="1:3" ht="15" x14ac:dyDescent="0.25">
      <c r="A31" s="11" t="s">
        <v>69</v>
      </c>
      <c r="B31" s="14"/>
      <c r="C31" s="16"/>
    </row>
    <row r="32" spans="1:3" x14ac:dyDescent="0.2">
      <c r="A32" s="12" t="s">
        <v>10</v>
      </c>
      <c r="B32" s="14">
        <v>0</v>
      </c>
      <c r="C32" s="16">
        <f>B32/$B$40</f>
        <v>0</v>
      </c>
    </row>
    <row r="33" spans="1:3" x14ac:dyDescent="0.2">
      <c r="A33" s="12" t="s">
        <v>12</v>
      </c>
      <c r="B33" s="14">
        <v>0</v>
      </c>
      <c r="C33" s="16">
        <f>B33/$B$40</f>
        <v>0</v>
      </c>
    </row>
    <row r="34" spans="1:3" ht="15" x14ac:dyDescent="0.25">
      <c r="A34" s="28" t="s">
        <v>70</v>
      </c>
      <c r="B34" s="40">
        <f>SUM(B32:B33)</f>
        <v>0</v>
      </c>
      <c r="C34" s="31">
        <f>B34/$B$40</f>
        <v>0</v>
      </c>
    </row>
    <row r="35" spans="1:3" ht="15" x14ac:dyDescent="0.25">
      <c r="A35" s="11" t="s">
        <v>71</v>
      </c>
      <c r="B35" s="14"/>
      <c r="C35" s="16"/>
    </row>
    <row r="36" spans="1:3" x14ac:dyDescent="0.2">
      <c r="A36" s="12" t="s">
        <v>10</v>
      </c>
      <c r="B36" s="14">
        <v>0</v>
      </c>
      <c r="C36" s="16">
        <f>B36/$B$40</f>
        <v>0</v>
      </c>
    </row>
    <row r="37" spans="1:3" x14ac:dyDescent="0.2">
      <c r="A37" s="12" t="s">
        <v>12</v>
      </c>
      <c r="B37" s="14">
        <v>0</v>
      </c>
      <c r="C37" s="16">
        <f>B37/$B$40</f>
        <v>0</v>
      </c>
    </row>
    <row r="38" spans="1:3" ht="15" x14ac:dyDescent="0.25">
      <c r="A38" s="28" t="s">
        <v>72</v>
      </c>
      <c r="B38" s="40">
        <f>SUM(B36:B37)</f>
        <v>0</v>
      </c>
      <c r="C38" s="31">
        <f>B38/$B$40</f>
        <v>0</v>
      </c>
    </row>
    <row r="39" spans="1:3" ht="15" x14ac:dyDescent="0.25">
      <c r="A39" s="11" t="s">
        <v>73</v>
      </c>
      <c r="B39" s="15">
        <f>SUM(B12,B22,B25,B30,B34,B38)</f>
        <v>13.399999999999999</v>
      </c>
      <c r="C39" s="17">
        <f>B39/$B$40</f>
        <v>4.6952363369705296E-4</v>
      </c>
    </row>
    <row r="40" spans="1:3" ht="15" x14ac:dyDescent="0.25">
      <c r="A40" s="11" t="s">
        <v>50</v>
      </c>
      <c r="B40" s="15">
        <f>'נספח 3 - מניות'!B82</f>
        <v>28539.564440000002</v>
      </c>
      <c r="C40" s="17">
        <f>B40/$B$40</f>
        <v>1</v>
      </c>
    </row>
    <row r="41" spans="1:3" ht="15" x14ac:dyDescent="0.25">
      <c r="A41" s="11" t="s">
        <v>74</v>
      </c>
      <c r="B41" s="1" t="s">
        <v>75</v>
      </c>
      <c r="C41" s="1" t="s">
        <v>76</v>
      </c>
    </row>
  </sheetData>
  <mergeCells count="1">
    <mergeCell ref="A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143"/>
  <sheetViews>
    <sheetView rightToLeft="1" topLeftCell="A40" zoomScale="80" zoomScaleNormal="80" workbookViewId="0">
      <selection activeCell="B57" sqref="B57"/>
    </sheetView>
  </sheetViews>
  <sheetFormatPr defaultRowHeight="14.25" x14ac:dyDescent="0.2"/>
  <cols>
    <col min="1" max="1" width="46.5" bestFit="1" customWidth="1"/>
    <col min="2" max="2" width="13.25" bestFit="1" customWidth="1"/>
    <col min="3" max="3" width="10.375" bestFit="1" customWidth="1"/>
    <col min="4" max="4" width="43" customWidth="1"/>
  </cols>
  <sheetData>
    <row r="1" spans="1:4" ht="15" x14ac:dyDescent="0.25">
      <c r="A1" s="88" t="s">
        <v>109</v>
      </c>
      <c r="B1" s="88"/>
      <c r="C1" s="88"/>
    </row>
    <row r="2" spans="1:4" s="55" customFormat="1" ht="15" x14ac:dyDescent="0.25">
      <c r="A2" s="88" t="s">
        <v>240</v>
      </c>
      <c r="B2" s="88"/>
      <c r="C2" s="88"/>
    </row>
    <row r="3" spans="1:4" ht="15" x14ac:dyDescent="0.25">
      <c r="A3" s="2"/>
      <c r="B3" s="2"/>
    </row>
    <row r="4" spans="1:4" x14ac:dyDescent="0.2">
      <c r="A4" t="s">
        <v>0</v>
      </c>
      <c r="B4" t="s">
        <v>1</v>
      </c>
      <c r="C4" t="s">
        <v>2</v>
      </c>
      <c r="D4" t="s">
        <v>257</v>
      </c>
    </row>
    <row r="5" spans="1:4" ht="15" x14ac:dyDescent="0.25">
      <c r="A5" s="2" t="s">
        <v>3</v>
      </c>
    </row>
    <row r="6" spans="1:4" s="55" customFormat="1" x14ac:dyDescent="0.2">
      <c r="A6" s="67" t="s">
        <v>172</v>
      </c>
      <c r="B6" s="68">
        <f>'נספח 3 - כללי'!B5+'נספח 3 - מניות'!B5</f>
        <v>245.08638000000002</v>
      </c>
      <c r="C6" s="39">
        <f>B6/$B$143</f>
        <v>8.0833545717811181E-5</v>
      </c>
    </row>
    <row r="7" spans="1:4" s="56" customFormat="1" x14ac:dyDescent="0.2">
      <c r="A7" s="67" t="s">
        <v>173</v>
      </c>
      <c r="B7" s="68">
        <f>'נספח 3 - כללי'!B6</f>
        <v>56.137560000000001</v>
      </c>
      <c r="C7" s="39">
        <f>B7/$B$143</f>
        <v>1.8515096688548618E-5</v>
      </c>
    </row>
    <row r="8" spans="1:4" ht="15" x14ac:dyDescent="0.25">
      <c r="A8" s="28" t="s">
        <v>5</v>
      </c>
      <c r="B8" s="29">
        <f>SUM(B6:B7)</f>
        <v>301.22394000000003</v>
      </c>
      <c r="C8" s="31">
        <f>SUM(C6:C7)</f>
        <v>9.9348642406359795E-5</v>
      </c>
      <c r="D8" s="84">
        <f>'נספח 3 - כללי'!B7+'נספח 3-אג"ח'!B6+'נספח 3 - מניות'!B6-'נספח 3 - עמלות ניהול חיצוני'!B8</f>
        <v>0</v>
      </c>
    </row>
    <row r="9" spans="1:4" ht="15" x14ac:dyDescent="0.25">
      <c r="A9" s="2" t="s">
        <v>6</v>
      </c>
      <c r="B9" s="14"/>
      <c r="C9" s="16"/>
    </row>
    <row r="10" spans="1:4" x14ac:dyDescent="0.2">
      <c r="A10" s="67" t="s">
        <v>181</v>
      </c>
      <c r="B10" s="68">
        <f>'נספח 3 - כללי'!B9</f>
        <v>40.673830000000002</v>
      </c>
      <c r="C10" s="69">
        <f t="shared" ref="C10:C20" si="0">B10/$B$143</f>
        <v>1.341490252058674E-5</v>
      </c>
    </row>
    <row r="11" spans="1:4" s="56" customFormat="1" x14ac:dyDescent="0.2">
      <c r="A11" s="67" t="s">
        <v>174</v>
      </c>
      <c r="B11" s="68">
        <f>'נספח 3 - כללי'!B10</f>
        <v>75.856660000000005</v>
      </c>
      <c r="C11" s="69">
        <f t="shared" si="0"/>
        <v>2.5018782333438761E-5</v>
      </c>
    </row>
    <row r="12" spans="1:4" s="56" customFormat="1" x14ac:dyDescent="0.2">
      <c r="A12" s="67" t="s">
        <v>175</v>
      </c>
      <c r="B12" s="68">
        <f>'נספח 3 - כללי'!B11</f>
        <v>76.071799999999996</v>
      </c>
      <c r="C12" s="69">
        <f t="shared" si="0"/>
        <v>2.508973906724718E-5</v>
      </c>
    </row>
    <row r="13" spans="1:4" s="56" customFormat="1" x14ac:dyDescent="0.2">
      <c r="A13" s="67" t="s">
        <v>252</v>
      </c>
      <c r="B13" s="68">
        <f>'נספח 3 - כללי'!B12</f>
        <v>3.8359999999999999</v>
      </c>
      <c r="C13" s="69">
        <f t="shared" si="0"/>
        <v>1.2651763079348744E-6</v>
      </c>
    </row>
    <row r="14" spans="1:4" s="56" customFormat="1" x14ac:dyDescent="0.2">
      <c r="A14" s="67" t="s">
        <v>177</v>
      </c>
      <c r="B14" s="68">
        <f>'נספח 3 - כללי'!B13</f>
        <v>107.91</v>
      </c>
      <c r="C14" s="69">
        <f t="shared" si="0"/>
        <v>3.5590504533173178E-5</v>
      </c>
    </row>
    <row r="15" spans="1:4" s="56" customFormat="1" x14ac:dyDescent="0.2">
      <c r="A15" s="67" t="s">
        <v>195</v>
      </c>
      <c r="B15" s="68">
        <f>'נספח 3 - כללי'!B14</f>
        <v>106.6</v>
      </c>
      <c r="C15" s="69">
        <f t="shared" si="0"/>
        <v>3.5158444845114078E-5</v>
      </c>
    </row>
    <row r="16" spans="1:4" s="56" customFormat="1" x14ac:dyDescent="0.2">
      <c r="A16" s="67" t="s">
        <v>176</v>
      </c>
      <c r="B16" s="68">
        <f>'נספח 3 - כללי'!B15</f>
        <v>80.41</v>
      </c>
      <c r="C16" s="69">
        <f t="shared" si="0"/>
        <v>2.6520549249489901E-5</v>
      </c>
    </row>
    <row r="17" spans="1:4" s="56" customFormat="1" x14ac:dyDescent="0.2">
      <c r="A17" s="67" t="s">
        <v>194</v>
      </c>
      <c r="B17" s="68">
        <f>'נספח 3 - כללי'!B16</f>
        <v>90.387</v>
      </c>
      <c r="C17" s="69">
        <f t="shared" si="0"/>
        <v>2.9811129026410192E-5</v>
      </c>
    </row>
    <row r="18" spans="1:4" s="56" customFormat="1" x14ac:dyDescent="0.2">
      <c r="A18" s="67" t="s">
        <v>206</v>
      </c>
      <c r="B18" s="68">
        <f>'נספח 3 - כללי'!B17</f>
        <v>20.81</v>
      </c>
      <c r="C18" s="69">
        <f t="shared" si="0"/>
        <v>6.8634825255799622E-6</v>
      </c>
    </row>
    <row r="19" spans="1:4" s="56" customFormat="1" x14ac:dyDescent="0.2">
      <c r="A19" s="67" t="s">
        <v>222</v>
      </c>
      <c r="B19" s="68">
        <f>'נספח 3 - כללי'!B18</f>
        <v>40.081000000000003</v>
      </c>
      <c r="C19" s="69">
        <f t="shared" si="0"/>
        <v>1.3219377371829433E-5</v>
      </c>
    </row>
    <row r="20" spans="1:4" s="56" customFormat="1" x14ac:dyDescent="0.2">
      <c r="A20" s="67" t="s">
        <v>207</v>
      </c>
      <c r="B20" s="68">
        <f>'נספח 3 - כללי'!B19</f>
        <v>120.87</v>
      </c>
      <c r="C20" s="69">
        <f t="shared" si="0"/>
        <v>3.9864927095956282E-5</v>
      </c>
    </row>
    <row r="21" spans="1:4" ht="15" x14ac:dyDescent="0.25">
      <c r="A21" s="28" t="s">
        <v>8</v>
      </c>
      <c r="B21" s="29">
        <f>SUM(B10:B20)</f>
        <v>763.50629000000004</v>
      </c>
      <c r="C21" s="31">
        <f>SUM(C10:C20)</f>
        <v>2.5181701487676057E-4</v>
      </c>
      <c r="D21" s="84">
        <f>'נספח 3 - כללי'!B20+'נספח 3-אג"ח'!B9+'נספח 3 - מניות'!B9-'נספח 3 - עמלות ניהול חיצוני'!B21</f>
        <v>0</v>
      </c>
    </row>
    <row r="22" spans="1:4" ht="15" x14ac:dyDescent="0.25">
      <c r="A22" s="2" t="s">
        <v>9</v>
      </c>
      <c r="B22" s="14"/>
      <c r="C22" s="16"/>
    </row>
    <row r="23" spans="1:4" x14ac:dyDescent="0.2">
      <c r="A23" s="3" t="s">
        <v>10</v>
      </c>
      <c r="B23" s="14">
        <f>'נספח 3 - כללי'!B22+'נספח 3-אג"ח'!B11+'נספח 3 - מניות'!B11</f>
        <v>0</v>
      </c>
      <c r="C23" s="16">
        <f>B23/$B$143</f>
        <v>0</v>
      </c>
    </row>
    <row r="24" spans="1:4" x14ac:dyDescent="0.2">
      <c r="A24" s="3" t="s">
        <v>11</v>
      </c>
      <c r="B24" s="14">
        <f>'נספח 3 - כללי'!B23+'נספח 3-אג"ח'!B12+'נספח 3 - מניות'!B12</f>
        <v>0</v>
      </c>
      <c r="C24" s="16">
        <f>B24/$B$143</f>
        <v>0</v>
      </c>
    </row>
    <row r="25" spans="1:4" x14ac:dyDescent="0.2">
      <c r="A25" s="3" t="s">
        <v>12</v>
      </c>
      <c r="B25" s="14">
        <f>'נספח 3 - כללי'!B24+'נספח 3-אג"ח'!B13+'נספח 3 - מניות'!B13</f>
        <v>0</v>
      </c>
      <c r="C25" s="16">
        <f>B25/$B$143</f>
        <v>0</v>
      </c>
    </row>
    <row r="26" spans="1:4" ht="15" x14ac:dyDescent="0.25">
      <c r="A26" s="28" t="s">
        <v>13</v>
      </c>
      <c r="B26" s="29">
        <f>SUM(B23:B25)</f>
        <v>0</v>
      </c>
      <c r="C26" s="31">
        <f>B26/$B$143</f>
        <v>0</v>
      </c>
      <c r="D26" s="84">
        <f>'נספח 3 - כללי'!B25+'נספח 3-אג"ח'!B14+'נספח 3 - מניות'!B14-'נספח 3 - עמלות ניהול חיצוני'!B26</f>
        <v>0</v>
      </c>
    </row>
    <row r="27" spans="1:4" ht="15" x14ac:dyDescent="0.25">
      <c r="A27" s="2" t="s">
        <v>14</v>
      </c>
      <c r="B27" s="14"/>
      <c r="C27" s="16"/>
    </row>
    <row r="28" spans="1:4" x14ac:dyDescent="0.2">
      <c r="A28" s="3" t="s">
        <v>10</v>
      </c>
      <c r="B28" s="14">
        <f>'נספח 3 - כללי'!B27+'נספח 3-אג"ח'!B16+'נספח 3 - מניות'!B16</f>
        <v>0</v>
      </c>
      <c r="C28" s="16">
        <f>B28/$B$143</f>
        <v>0</v>
      </c>
    </row>
    <row r="29" spans="1:4" x14ac:dyDescent="0.2">
      <c r="A29" s="3" t="s">
        <v>11</v>
      </c>
      <c r="B29" s="14">
        <f>'נספח 3 - כללי'!B28+'נספח 3-אג"ח'!B17+'נספח 3 - מניות'!B17</f>
        <v>0</v>
      </c>
      <c r="C29" s="16">
        <f>B29/$B$143</f>
        <v>0</v>
      </c>
    </row>
    <row r="30" spans="1:4" x14ac:dyDescent="0.2">
      <c r="A30" s="3" t="s">
        <v>12</v>
      </c>
      <c r="B30" s="14">
        <f>'נספח 3 - כללי'!B29+'נספח 3-אג"ח'!B18+'נספח 3 - מניות'!B18</f>
        <v>0</v>
      </c>
      <c r="C30" s="16">
        <f>B30/$B$143</f>
        <v>0</v>
      </c>
    </row>
    <row r="31" spans="1:4" ht="15" x14ac:dyDescent="0.25">
      <c r="A31" s="28" t="s">
        <v>15</v>
      </c>
      <c r="B31" s="29">
        <f>SUM(B28:B30)</f>
        <v>0</v>
      </c>
      <c r="C31" s="31">
        <f>B31/$B$143</f>
        <v>0</v>
      </c>
      <c r="D31" s="84">
        <f>'נספח 3 - כללי'!B30+'נספח 3-אג"ח'!B19+'נספח 3 - מניות'!B19-B31</f>
        <v>0</v>
      </c>
    </row>
    <row r="32" spans="1:4" ht="15" x14ac:dyDescent="0.25">
      <c r="A32" s="2" t="s">
        <v>16</v>
      </c>
      <c r="B32" s="14"/>
      <c r="C32" s="16"/>
    </row>
    <row r="33" spans="1:4" ht="15" x14ac:dyDescent="0.25">
      <c r="A33" s="2" t="s">
        <v>17</v>
      </c>
      <c r="B33" s="14"/>
      <c r="C33" s="16"/>
    </row>
    <row r="34" spans="1:4" s="56" customFormat="1" x14ac:dyDescent="0.2">
      <c r="A34" s="73" t="s">
        <v>227</v>
      </c>
      <c r="B34" s="14">
        <f>'נספח 3 - כללי'!B33</f>
        <v>5.8</v>
      </c>
      <c r="C34" s="16">
        <f>B34/$B$143</f>
        <v>1.9129360234677454E-6</v>
      </c>
    </row>
    <row r="35" spans="1:4" x14ac:dyDescent="0.2">
      <c r="A35" s="73" t="s">
        <v>228</v>
      </c>
      <c r="B35" s="14">
        <f>'נספח 3 - כללי'!B34+'נספח 3 - מניות'!B22</f>
        <v>1.25</v>
      </c>
      <c r="C35" s="16">
        <f>B35/$B$143</f>
        <v>4.1227069471287622E-7</v>
      </c>
    </row>
    <row r="36" spans="1:4" ht="15" x14ac:dyDescent="0.25">
      <c r="A36" s="28" t="s">
        <v>19</v>
      </c>
      <c r="B36" s="29">
        <f>SUM(B34:B35)</f>
        <v>7.05</v>
      </c>
      <c r="C36" s="31">
        <f>B36/$B$143</f>
        <v>2.3252067181806215E-6</v>
      </c>
      <c r="D36" s="84">
        <f>'נספח 3 - כללי'!B35+'נספח 3-אג"ח'!B23+'נספח 3 - מניות'!B23-B36</f>
        <v>0</v>
      </c>
    </row>
    <row r="37" spans="1:4" ht="15" x14ac:dyDescent="0.25">
      <c r="A37" s="2" t="s">
        <v>20</v>
      </c>
      <c r="B37" s="14"/>
      <c r="C37" s="16"/>
    </row>
    <row r="38" spans="1:4" s="56" customFormat="1" x14ac:dyDescent="0.2">
      <c r="A38" s="82" t="s">
        <v>32</v>
      </c>
      <c r="B38" s="56">
        <v>0.79</v>
      </c>
      <c r="C38" s="16">
        <f t="shared" ref="C38:C48" si="1">B38/$B$143</f>
        <v>2.6055507905853775E-7</v>
      </c>
    </row>
    <row r="39" spans="1:4" x14ac:dyDescent="0.2">
      <c r="A39" s="82" t="s">
        <v>122</v>
      </c>
      <c r="B39" s="56">
        <v>17.48</v>
      </c>
      <c r="C39" s="16">
        <f t="shared" si="1"/>
        <v>5.7651933948648611E-6</v>
      </c>
    </row>
    <row r="40" spans="1:4" x14ac:dyDescent="0.2">
      <c r="A40" s="82" t="s">
        <v>167</v>
      </c>
      <c r="B40" s="56">
        <v>12.11</v>
      </c>
      <c r="C40" s="16">
        <f t="shared" si="1"/>
        <v>3.9940784903783443E-6</v>
      </c>
    </row>
    <row r="41" spans="1:4" s="50" customFormat="1" x14ac:dyDescent="0.2">
      <c r="A41" s="82" t="s">
        <v>178</v>
      </c>
      <c r="B41" s="56">
        <v>11.51</v>
      </c>
      <c r="C41" s="16">
        <f t="shared" si="1"/>
        <v>3.7961885569161641E-6</v>
      </c>
    </row>
    <row r="42" spans="1:4" s="50" customFormat="1" x14ac:dyDescent="0.2">
      <c r="A42" s="82" t="s">
        <v>127</v>
      </c>
      <c r="B42" s="56">
        <f>13.74+'נספח 3 - מניות'!B25</f>
        <v>15.08</v>
      </c>
      <c r="C42" s="16">
        <f t="shared" si="1"/>
        <v>4.9736336610161387E-6</v>
      </c>
    </row>
    <row r="43" spans="1:4" s="50" customFormat="1" x14ac:dyDescent="0.2">
      <c r="A43" s="82" t="s">
        <v>128</v>
      </c>
      <c r="B43" s="56">
        <v>65.459999999999994</v>
      </c>
      <c r="C43" s="16">
        <f t="shared" si="1"/>
        <v>2.1589791740723899E-5</v>
      </c>
    </row>
    <row r="44" spans="1:4" s="56" customFormat="1" x14ac:dyDescent="0.2">
      <c r="A44" s="82" t="s">
        <v>129</v>
      </c>
      <c r="B44" s="56">
        <v>12.14</v>
      </c>
      <c r="C44" s="16">
        <f t="shared" si="1"/>
        <v>4.0039729870514535E-6</v>
      </c>
    </row>
    <row r="45" spans="1:4" s="56" customFormat="1" x14ac:dyDescent="0.2">
      <c r="A45" s="82" t="s">
        <v>197</v>
      </c>
      <c r="B45" s="56">
        <v>20.41</v>
      </c>
      <c r="C45" s="16">
        <f t="shared" si="1"/>
        <v>6.7315559032718424E-6</v>
      </c>
    </row>
    <row r="46" spans="1:4" s="56" customFormat="1" x14ac:dyDescent="0.2">
      <c r="A46" s="82" t="s">
        <v>208</v>
      </c>
      <c r="B46" s="56">
        <v>11.78</v>
      </c>
      <c r="C46" s="16">
        <f t="shared" si="1"/>
        <v>3.8852390269741451E-6</v>
      </c>
    </row>
    <row r="47" spans="1:4" s="56" customFormat="1" x14ac:dyDescent="0.2">
      <c r="A47" s="82" t="s">
        <v>209</v>
      </c>
      <c r="B47" s="56">
        <v>3.22</v>
      </c>
      <c r="C47" s="16">
        <f t="shared" si="1"/>
        <v>1.0620093095803691E-6</v>
      </c>
    </row>
    <row r="48" spans="1:4" s="56" customFormat="1" x14ac:dyDescent="0.2">
      <c r="A48" s="82" t="s">
        <v>244</v>
      </c>
      <c r="B48" s="56">
        <v>1.91</v>
      </c>
      <c r="C48" s="16">
        <f t="shared" si="1"/>
        <v>6.2994962152127477E-7</v>
      </c>
    </row>
    <row r="49" spans="1:4" ht="15" x14ac:dyDescent="0.25">
      <c r="A49" s="28" t="s">
        <v>21</v>
      </c>
      <c r="B49" s="29">
        <f>SUM(B38:B48)</f>
        <v>171.89</v>
      </c>
      <c r="C49" s="31">
        <f>SUM(C38:C48)</f>
        <v>5.6692167771357027E-5</v>
      </c>
      <c r="D49" s="84">
        <f>'נספח 3 - כללי'!B48+'נספח 3-אג"ח'!B26+'נספח 3 - מניות'!B26-B49</f>
        <v>0</v>
      </c>
    </row>
    <row r="50" spans="1:4" ht="15" x14ac:dyDescent="0.25">
      <c r="A50" s="36" t="s">
        <v>22</v>
      </c>
      <c r="B50" s="37">
        <f>B36+B49</f>
        <v>178.94</v>
      </c>
      <c r="C50" s="38">
        <f>B50/$B$143</f>
        <v>5.9017374489537654E-5</v>
      </c>
    </row>
    <row r="51" spans="1:4" ht="15" x14ac:dyDescent="0.25">
      <c r="A51" s="2" t="s">
        <v>23</v>
      </c>
      <c r="B51" s="14"/>
      <c r="C51" s="16"/>
    </row>
    <row r="52" spans="1:4" ht="15" x14ac:dyDescent="0.25">
      <c r="A52" s="2" t="s">
        <v>24</v>
      </c>
      <c r="B52" s="14"/>
      <c r="C52" s="16"/>
    </row>
    <row r="53" spans="1:4" s="56" customFormat="1" x14ac:dyDescent="0.2">
      <c r="A53" s="83" t="s">
        <v>245</v>
      </c>
      <c r="B53" s="86">
        <f>'נספח 3 - כללי'!B54</f>
        <v>570.78187025917453</v>
      </c>
      <c r="C53" s="16">
        <f t="shared" ref="C53:C63" si="2">B53/$B$143</f>
        <v>1.8825331054501173E-4</v>
      </c>
    </row>
    <row r="54" spans="1:4" x14ac:dyDescent="0.2">
      <c r="A54" s="73" t="s">
        <v>161</v>
      </c>
      <c r="B54" s="71"/>
      <c r="C54" s="16">
        <f t="shared" si="2"/>
        <v>0</v>
      </c>
      <c r="D54" s="71"/>
    </row>
    <row r="55" spans="1:4" x14ac:dyDescent="0.2">
      <c r="A55" s="73" t="s">
        <v>198</v>
      </c>
      <c r="B55" s="71"/>
      <c r="C55" s="16">
        <f t="shared" si="2"/>
        <v>0</v>
      </c>
    </row>
    <row r="56" spans="1:4" x14ac:dyDescent="0.2">
      <c r="A56" s="73" t="s">
        <v>246</v>
      </c>
      <c r="B56" s="87">
        <f>'נספח 3 - מניות'!B30+'נספח 3 - כללי'!B55</f>
        <v>286.50571655467769</v>
      </c>
      <c r="C56" s="16">
        <f t="shared" si="2"/>
        <v>9.44943286425659E-5</v>
      </c>
    </row>
    <row r="57" spans="1:4" s="56" customFormat="1" x14ac:dyDescent="0.2">
      <c r="A57" s="83" t="s">
        <v>247</v>
      </c>
      <c r="B57" s="86">
        <f>'נספח 3 - כללי'!B60+'נספח 3 - מניות'!B31</f>
        <v>215.88089830465921</v>
      </c>
      <c r="C57" s="16">
        <f t="shared" si="2"/>
        <v>7.1201094335441312E-5</v>
      </c>
    </row>
    <row r="58" spans="1:4" x14ac:dyDescent="0.2">
      <c r="A58" s="73" t="s">
        <v>163</v>
      </c>
      <c r="B58" s="71"/>
      <c r="C58" s="16">
        <f t="shared" si="2"/>
        <v>0</v>
      </c>
    </row>
    <row r="59" spans="1:4" s="56" customFormat="1" x14ac:dyDescent="0.2">
      <c r="A59" s="73" t="s">
        <v>164</v>
      </c>
      <c r="B59" s="71"/>
      <c r="C59" s="16">
        <f t="shared" si="2"/>
        <v>0</v>
      </c>
    </row>
    <row r="60" spans="1:4" s="56" customFormat="1" x14ac:dyDescent="0.2">
      <c r="A60" s="73" t="s">
        <v>168</v>
      </c>
      <c r="B60" s="71"/>
      <c r="C60" s="16">
        <f t="shared" si="2"/>
        <v>0</v>
      </c>
    </row>
    <row r="61" spans="1:4" s="56" customFormat="1" x14ac:dyDescent="0.2">
      <c r="A61" s="73" t="s">
        <v>165</v>
      </c>
      <c r="B61" s="71"/>
      <c r="C61" s="16">
        <f t="shared" si="2"/>
        <v>0</v>
      </c>
    </row>
    <row r="62" spans="1:4" s="56" customFormat="1" x14ac:dyDescent="0.2">
      <c r="A62" s="73" t="s">
        <v>210</v>
      </c>
      <c r="B62" s="87">
        <f>'נספח 3 - כללי'!B61</f>
        <v>15.741750999778484</v>
      </c>
      <c r="C62" s="16">
        <f t="shared" si="2"/>
        <v>5.1918900965406313E-6</v>
      </c>
    </row>
    <row r="63" spans="1:4" s="56" customFormat="1" x14ac:dyDescent="0.2">
      <c r="A63" s="73" t="s">
        <v>26</v>
      </c>
      <c r="B63" s="87">
        <f>'נספח 3 - כללי'!B62+'נספח 3 - מניות'!B36</f>
        <v>638.66890388171009</v>
      </c>
      <c r="C63" s="16">
        <f t="shared" si="2"/>
        <v>2.1064357815585901E-4</v>
      </c>
    </row>
    <row r="64" spans="1:4" ht="15" x14ac:dyDescent="0.25">
      <c r="A64" s="28" t="s">
        <v>27</v>
      </c>
      <c r="B64" s="29">
        <f>SUM(B53:B63)</f>
        <v>1727.5791400000001</v>
      </c>
      <c r="C64" s="31">
        <f>SUM(C53:C63)</f>
        <v>5.6978420177541858E-4</v>
      </c>
      <c r="D64" s="84">
        <f>'נספח 3 - כללי'!B63+'נספח 3-אג"ח'!B23+'נספח 3 - מניות'!B37-B64</f>
        <v>0</v>
      </c>
    </row>
    <row r="65" spans="1:5" ht="15" x14ac:dyDescent="0.25">
      <c r="A65" s="2" t="s">
        <v>28</v>
      </c>
      <c r="B65" s="14"/>
      <c r="C65" s="16"/>
    </row>
    <row r="66" spans="1:5" x14ac:dyDescent="0.2">
      <c r="A66" s="67" t="s">
        <v>214</v>
      </c>
      <c r="B66" s="71">
        <v>0</v>
      </c>
      <c r="C66" s="16">
        <f t="shared" ref="C66:C97" si="3">B66/$B$143</f>
        <v>0</v>
      </c>
    </row>
    <row r="67" spans="1:5" x14ac:dyDescent="0.2">
      <c r="A67" s="67" t="s">
        <v>192</v>
      </c>
      <c r="B67" s="71">
        <f>5.89+0.41</f>
        <v>6.3</v>
      </c>
      <c r="C67" s="16">
        <f t="shared" si="3"/>
        <v>2.0778443013528959E-6</v>
      </c>
    </row>
    <row r="68" spans="1:5" x14ac:dyDescent="0.2">
      <c r="A68" s="67" t="s">
        <v>29</v>
      </c>
      <c r="B68" s="71">
        <f>3.02+0.03</f>
        <v>3.05</v>
      </c>
      <c r="C68" s="16">
        <f t="shared" si="3"/>
        <v>1.005940495099418E-6</v>
      </c>
    </row>
    <row r="69" spans="1:5" x14ac:dyDescent="0.2">
      <c r="A69" s="67" t="s">
        <v>30</v>
      </c>
      <c r="B69" s="71">
        <f>3.66+0.08</f>
        <v>3.74</v>
      </c>
      <c r="C69" s="16">
        <f t="shared" si="3"/>
        <v>1.2335139185809257E-6</v>
      </c>
    </row>
    <row r="70" spans="1:5" x14ac:dyDescent="0.2">
      <c r="A70" s="67" t="s">
        <v>31</v>
      </c>
      <c r="B70" s="71">
        <v>0.7</v>
      </c>
      <c r="C70" s="16">
        <f t="shared" si="3"/>
        <v>2.3087158903921066E-7</v>
      </c>
    </row>
    <row r="71" spans="1:5" x14ac:dyDescent="0.2">
      <c r="A71" s="67" t="s">
        <v>33</v>
      </c>
      <c r="B71" s="71">
        <f>2.79+0.13</f>
        <v>2.92</v>
      </c>
      <c r="C71" s="16">
        <f t="shared" si="3"/>
        <v>9.6306434284927883E-7</v>
      </c>
    </row>
    <row r="72" spans="1:5" s="56" customFormat="1" x14ac:dyDescent="0.2">
      <c r="A72" s="67" t="s">
        <v>34</v>
      </c>
      <c r="B72" s="71">
        <f>3.44+0.12</f>
        <v>3.56</v>
      </c>
      <c r="C72" s="16">
        <f t="shared" si="3"/>
        <v>1.1741469385422715E-6</v>
      </c>
      <c r="D72"/>
      <c r="E72"/>
    </row>
    <row r="73" spans="1:5" s="56" customFormat="1" x14ac:dyDescent="0.2">
      <c r="A73" s="67" t="s">
        <v>35</v>
      </c>
      <c r="B73" s="71">
        <v>1.43</v>
      </c>
      <c r="C73" s="16">
        <f t="shared" si="3"/>
        <v>4.7163767475153034E-7</v>
      </c>
      <c r="D73"/>
      <c r="E73"/>
    </row>
    <row r="74" spans="1:5" s="56" customFormat="1" x14ac:dyDescent="0.2">
      <c r="A74" s="67" t="s">
        <v>199</v>
      </c>
      <c r="B74" s="71">
        <v>1.81</v>
      </c>
      <c r="C74" s="16">
        <f t="shared" si="3"/>
        <v>5.9696796594424481E-7</v>
      </c>
      <c r="D74"/>
      <c r="E74"/>
    </row>
    <row r="75" spans="1:5" s="56" customFormat="1" x14ac:dyDescent="0.2">
      <c r="A75" s="67" t="s">
        <v>36</v>
      </c>
      <c r="B75" s="71">
        <f>24.05+0.73</f>
        <v>24.78</v>
      </c>
      <c r="C75" s="16">
        <f t="shared" si="3"/>
        <v>8.1728542519880583E-6</v>
      </c>
      <c r="D75"/>
      <c r="E75"/>
    </row>
    <row r="76" spans="1:5" s="56" customFormat="1" x14ac:dyDescent="0.2">
      <c r="A76" s="67" t="s">
        <v>112</v>
      </c>
      <c r="B76" s="71">
        <v>0.71</v>
      </c>
      <c r="C76" s="16">
        <f t="shared" si="3"/>
        <v>2.3416975459691367E-7</v>
      </c>
      <c r="D76"/>
      <c r="E76"/>
    </row>
    <row r="77" spans="1:5" s="56" customFormat="1" x14ac:dyDescent="0.2">
      <c r="A77" s="67" t="s">
        <v>113</v>
      </c>
      <c r="B77" s="71">
        <f>2.56+0.63</f>
        <v>3.19</v>
      </c>
      <c r="C77" s="16">
        <f t="shared" si="3"/>
        <v>1.05211481290726E-6</v>
      </c>
      <c r="D77"/>
      <c r="E77"/>
    </row>
    <row r="78" spans="1:5" s="56" customFormat="1" x14ac:dyDescent="0.2">
      <c r="A78" s="67" t="s">
        <v>37</v>
      </c>
      <c r="B78" s="71">
        <f>4.44+0.33</f>
        <v>4.7700000000000005</v>
      </c>
      <c r="C78" s="16">
        <f t="shared" si="3"/>
        <v>1.5732249710243358E-6</v>
      </c>
      <c r="D78"/>
      <c r="E78"/>
    </row>
    <row r="79" spans="1:5" s="56" customFormat="1" x14ac:dyDescent="0.2">
      <c r="A79" s="67" t="s">
        <v>180</v>
      </c>
      <c r="B79" s="71">
        <f>13.11</f>
        <v>13.11</v>
      </c>
      <c r="C79" s="16">
        <f t="shared" si="3"/>
        <v>4.3238950461486452E-6</v>
      </c>
      <c r="D79"/>
      <c r="E79"/>
    </row>
    <row r="80" spans="1:5" s="56" customFormat="1" x14ac:dyDescent="0.2">
      <c r="A80" s="67" t="s">
        <v>130</v>
      </c>
      <c r="B80" s="71">
        <v>0.96</v>
      </c>
      <c r="C80" s="16">
        <f t="shared" si="3"/>
        <v>3.1662389353948892E-7</v>
      </c>
      <c r="D80"/>
      <c r="E80"/>
    </row>
    <row r="81" spans="1:5" s="56" customFormat="1" x14ac:dyDescent="0.2">
      <c r="A81" s="67" t="s">
        <v>223</v>
      </c>
      <c r="B81" s="71">
        <f>2.65+0.12</f>
        <v>2.77</v>
      </c>
      <c r="C81" s="16">
        <f t="shared" si="3"/>
        <v>9.1359185948373367E-7</v>
      </c>
      <c r="D81"/>
      <c r="E81"/>
    </row>
    <row r="82" spans="1:5" s="56" customFormat="1" x14ac:dyDescent="0.2">
      <c r="A82" s="67" t="s">
        <v>38</v>
      </c>
      <c r="B82" s="71">
        <v>33.44</v>
      </c>
      <c r="C82" s="16">
        <f t="shared" si="3"/>
        <v>1.1029065624958864E-5</v>
      </c>
      <c r="D82"/>
      <c r="E82"/>
    </row>
    <row r="83" spans="1:5" s="56" customFormat="1" x14ac:dyDescent="0.2">
      <c r="A83" s="67" t="s">
        <v>123</v>
      </c>
      <c r="B83" s="71">
        <f>0.81+0.13</f>
        <v>0.94000000000000006</v>
      </c>
      <c r="C83" s="16">
        <f t="shared" si="3"/>
        <v>3.100275624240829E-7</v>
      </c>
      <c r="D83"/>
      <c r="E83"/>
    </row>
    <row r="84" spans="1:5" s="56" customFormat="1" x14ac:dyDescent="0.2">
      <c r="A84" s="67" t="s">
        <v>131</v>
      </c>
      <c r="B84" s="71">
        <v>14.11</v>
      </c>
      <c r="C84" s="16">
        <f t="shared" si="3"/>
        <v>4.6537116019189461E-6</v>
      </c>
      <c r="D84"/>
      <c r="E84"/>
    </row>
    <row r="85" spans="1:5" s="56" customFormat="1" x14ac:dyDescent="0.2">
      <c r="A85" s="67" t="s">
        <v>132</v>
      </c>
      <c r="B85" s="71">
        <v>11.49</v>
      </c>
      <c r="C85" s="16">
        <f t="shared" si="3"/>
        <v>3.789592225800758E-6</v>
      </c>
      <c r="D85"/>
      <c r="E85"/>
    </row>
    <row r="86" spans="1:5" s="56" customFormat="1" x14ac:dyDescent="0.2">
      <c r="A86" s="67" t="s">
        <v>182</v>
      </c>
      <c r="B86" s="71">
        <v>9.93</v>
      </c>
      <c r="C86" s="16">
        <f t="shared" si="3"/>
        <v>3.2750783987990883E-6</v>
      </c>
      <c r="D86"/>
      <c r="E86"/>
    </row>
    <row r="87" spans="1:5" s="56" customFormat="1" x14ac:dyDescent="0.2">
      <c r="A87" s="67" t="s">
        <v>133</v>
      </c>
      <c r="B87" s="71">
        <v>5.99</v>
      </c>
      <c r="C87" s="16">
        <f t="shared" si="3"/>
        <v>1.9756011690641027E-6</v>
      </c>
      <c r="D87"/>
      <c r="E87"/>
    </row>
    <row r="88" spans="1:5" s="56" customFormat="1" x14ac:dyDescent="0.2">
      <c r="A88" s="67" t="s">
        <v>39</v>
      </c>
      <c r="B88" s="71">
        <f>5.68+0.02</f>
        <v>5.6999999999999993</v>
      </c>
      <c r="C88" s="16">
        <f t="shared" si="3"/>
        <v>1.8799543678907152E-6</v>
      </c>
      <c r="D88"/>
      <c r="E88"/>
    </row>
    <row r="89" spans="1:5" s="56" customFormat="1" x14ac:dyDescent="0.2">
      <c r="A89" s="67" t="s">
        <v>134</v>
      </c>
      <c r="B89" s="71">
        <v>7.98</v>
      </c>
      <c r="C89" s="16">
        <f t="shared" si="3"/>
        <v>2.6319361150470018E-6</v>
      </c>
      <c r="D89"/>
      <c r="E89"/>
    </row>
    <row r="90" spans="1:5" s="56" customFormat="1" x14ac:dyDescent="0.2">
      <c r="A90" s="67" t="s">
        <v>120</v>
      </c>
      <c r="B90" s="71">
        <f>2.62+0.21</f>
        <v>2.83</v>
      </c>
      <c r="C90" s="16">
        <f t="shared" si="3"/>
        <v>9.3338085282995171E-7</v>
      </c>
      <c r="D90"/>
      <c r="E90"/>
    </row>
    <row r="91" spans="1:5" s="56" customFormat="1" x14ac:dyDescent="0.2">
      <c r="A91" s="67" t="s">
        <v>183</v>
      </c>
      <c r="B91" s="71">
        <f>2.86+0.11</f>
        <v>2.9699999999999998</v>
      </c>
      <c r="C91" s="16">
        <f t="shared" si="3"/>
        <v>9.795551706377937E-7</v>
      </c>
      <c r="D91"/>
      <c r="E91"/>
    </row>
    <row r="92" spans="1:5" s="56" customFormat="1" x14ac:dyDescent="0.2">
      <c r="A92" s="67" t="s">
        <v>121</v>
      </c>
      <c r="B92" s="71">
        <v>2.66</v>
      </c>
      <c r="C92" s="16">
        <f t="shared" si="3"/>
        <v>8.7731203834900065E-7</v>
      </c>
      <c r="D92"/>
      <c r="E92"/>
    </row>
    <row r="93" spans="1:5" s="56" customFormat="1" x14ac:dyDescent="0.2">
      <c r="A93" s="67" t="s">
        <v>114</v>
      </c>
      <c r="B93" s="71">
        <f>11.13+0.58</f>
        <v>11.71</v>
      </c>
      <c r="C93" s="16">
        <f t="shared" si="3"/>
        <v>3.8621518680702245E-6</v>
      </c>
      <c r="D93"/>
      <c r="E93"/>
    </row>
    <row r="94" spans="1:5" s="56" customFormat="1" x14ac:dyDescent="0.2">
      <c r="A94" s="67" t="s">
        <v>115</v>
      </c>
      <c r="B94" s="71">
        <f>15.86+1.09</f>
        <v>16.95</v>
      </c>
      <c r="C94" s="16">
        <f t="shared" si="3"/>
        <v>5.5903906203066007E-6</v>
      </c>
      <c r="D94"/>
      <c r="E94"/>
    </row>
    <row r="95" spans="1:5" x14ac:dyDescent="0.2">
      <c r="A95" s="67" t="s">
        <v>200</v>
      </c>
      <c r="B95" s="71">
        <f>0.07+0.01</f>
        <v>0.08</v>
      </c>
      <c r="C95" s="16">
        <f t="shared" si="3"/>
        <v>2.6385324461624077E-8</v>
      </c>
    </row>
    <row r="96" spans="1:5" x14ac:dyDescent="0.2">
      <c r="A96" s="67" t="s">
        <v>211</v>
      </c>
      <c r="B96" s="71">
        <v>4.53</v>
      </c>
      <c r="C96" s="16">
        <f t="shared" si="3"/>
        <v>1.4940689976394634E-6</v>
      </c>
    </row>
    <row r="97" spans="1:3" x14ac:dyDescent="0.2">
      <c r="A97" s="67" t="s">
        <v>212</v>
      </c>
      <c r="B97" s="71">
        <v>7.73</v>
      </c>
      <c r="C97" s="16">
        <f t="shared" si="3"/>
        <v>2.5494819761044266E-6</v>
      </c>
    </row>
    <row r="98" spans="1:3" x14ac:dyDescent="0.2">
      <c r="A98" s="67" t="s">
        <v>135</v>
      </c>
      <c r="B98" s="71">
        <v>1.03</v>
      </c>
      <c r="C98" s="16">
        <f t="shared" ref="C98:C129" si="4">B98/$B$143</f>
        <v>3.3971105244341002E-7</v>
      </c>
    </row>
    <row r="99" spans="1:3" x14ac:dyDescent="0.2">
      <c r="A99" s="67" t="s">
        <v>124</v>
      </c>
      <c r="B99" s="71">
        <f>4.36+0.29</f>
        <v>4.6500000000000004</v>
      </c>
      <c r="C99" s="16">
        <f t="shared" si="4"/>
        <v>1.5336469843318997E-6</v>
      </c>
    </row>
    <row r="100" spans="1:3" x14ac:dyDescent="0.2">
      <c r="A100" s="67" t="s">
        <v>125</v>
      </c>
      <c r="B100" s="71">
        <f>5.29+0.32</f>
        <v>5.61</v>
      </c>
      <c r="C100" s="16">
        <f t="shared" si="4"/>
        <v>1.8502708778713885E-6</v>
      </c>
    </row>
    <row r="101" spans="1:3" x14ac:dyDescent="0.2">
      <c r="A101" s="67" t="s">
        <v>126</v>
      </c>
      <c r="B101" s="71">
        <f>2.04+0.05</f>
        <v>2.09</v>
      </c>
      <c r="C101" s="16">
        <f t="shared" si="4"/>
        <v>6.89316601559929E-7</v>
      </c>
    </row>
    <row r="102" spans="1:3" x14ac:dyDescent="0.2">
      <c r="A102" s="67" t="s">
        <v>136</v>
      </c>
      <c r="B102" s="71">
        <v>5.24</v>
      </c>
      <c r="C102" s="16">
        <f t="shared" si="4"/>
        <v>1.728238752236377E-6</v>
      </c>
    </row>
    <row r="103" spans="1:3" x14ac:dyDescent="0.2">
      <c r="A103" s="67" t="s">
        <v>193</v>
      </c>
      <c r="B103" s="71">
        <f>54.84+0.6</f>
        <v>55.440000000000005</v>
      </c>
      <c r="C103" s="16">
        <f t="shared" si="4"/>
        <v>1.8285029851905489E-5</v>
      </c>
    </row>
    <row r="104" spans="1:3" x14ac:dyDescent="0.2">
      <c r="A104" s="67" t="s">
        <v>169</v>
      </c>
      <c r="B104" s="71">
        <v>0.12</v>
      </c>
      <c r="C104" s="16">
        <f t="shared" si="4"/>
        <v>3.9577986692436114E-8</v>
      </c>
    </row>
    <row r="105" spans="1:3" x14ac:dyDescent="0.2">
      <c r="A105" s="67" t="s">
        <v>166</v>
      </c>
      <c r="B105" s="71">
        <v>3.82</v>
      </c>
      <c r="C105" s="16">
        <f t="shared" si="4"/>
        <v>1.2598992430425495E-6</v>
      </c>
    </row>
    <row r="106" spans="1:3" x14ac:dyDescent="0.2">
      <c r="A106" s="67" t="s">
        <v>213</v>
      </c>
      <c r="B106" s="71">
        <f>17.15+2.12</f>
        <v>19.27</v>
      </c>
      <c r="C106" s="16">
        <f t="shared" si="4"/>
        <v>6.3555650296936995E-6</v>
      </c>
    </row>
    <row r="107" spans="1:3" x14ac:dyDescent="0.2">
      <c r="A107" s="67" t="s">
        <v>184</v>
      </c>
      <c r="B107" s="71">
        <v>0.76</v>
      </c>
      <c r="C107" s="16">
        <f t="shared" si="4"/>
        <v>2.5066058238542873E-7</v>
      </c>
    </row>
    <row r="108" spans="1:3" x14ac:dyDescent="0.2">
      <c r="A108" s="67" t="s">
        <v>185</v>
      </c>
      <c r="B108" s="71">
        <f>2.78+1.35</f>
        <v>4.13</v>
      </c>
      <c r="C108" s="16">
        <f t="shared" si="4"/>
        <v>1.3621423753313429E-6</v>
      </c>
    </row>
    <row r="109" spans="1:3" x14ac:dyDescent="0.2">
      <c r="A109" s="67" t="s">
        <v>224</v>
      </c>
      <c r="B109" s="71">
        <f>3.32+0.26</f>
        <v>3.58</v>
      </c>
      <c r="C109" s="16">
        <f t="shared" si="4"/>
        <v>1.1807432696576774E-6</v>
      </c>
    </row>
    <row r="110" spans="1:3" x14ac:dyDescent="0.2">
      <c r="A110" s="67" t="s">
        <v>186</v>
      </c>
      <c r="B110" s="71">
        <f>18.05+2.04</f>
        <v>20.09</v>
      </c>
      <c r="C110" s="16">
        <f t="shared" si="4"/>
        <v>6.6260146054253462E-6</v>
      </c>
    </row>
    <row r="111" spans="1:3" x14ac:dyDescent="0.2">
      <c r="A111" s="67" t="s">
        <v>225</v>
      </c>
      <c r="B111" s="71">
        <f>8.74+1</f>
        <v>9.74</v>
      </c>
      <c r="C111" s="16">
        <f t="shared" si="4"/>
        <v>3.2124132532027315E-6</v>
      </c>
    </row>
    <row r="112" spans="1:3" x14ac:dyDescent="0.2">
      <c r="A112" s="67" t="s">
        <v>201</v>
      </c>
      <c r="B112" s="71">
        <v>0.32</v>
      </c>
      <c r="C112" s="16">
        <f t="shared" si="4"/>
        <v>1.0554129784649631E-7</v>
      </c>
    </row>
    <row r="113" spans="1:3" x14ac:dyDescent="0.2">
      <c r="A113" s="67" t="s">
        <v>202</v>
      </c>
      <c r="B113" s="71">
        <v>3.47</v>
      </c>
      <c r="C113" s="16">
        <f t="shared" si="4"/>
        <v>1.1444634485229444E-6</v>
      </c>
    </row>
    <row r="114" spans="1:3" x14ac:dyDescent="0.2">
      <c r="A114" s="67" t="s">
        <v>248</v>
      </c>
      <c r="B114" s="71">
        <v>0</v>
      </c>
      <c r="C114" s="16">
        <f t="shared" si="4"/>
        <v>0</v>
      </c>
    </row>
    <row r="115" spans="1:3" x14ac:dyDescent="0.2">
      <c r="A115" s="67" t="s">
        <v>215</v>
      </c>
      <c r="B115" s="71">
        <f>4.17+0.36</f>
        <v>4.53</v>
      </c>
      <c r="C115" s="16">
        <f t="shared" si="4"/>
        <v>1.4940689976394634E-6</v>
      </c>
    </row>
    <row r="116" spans="1:3" x14ac:dyDescent="0.2">
      <c r="A116" s="67" t="s">
        <v>226</v>
      </c>
      <c r="B116" s="71">
        <f>1.01+0.48</f>
        <v>1.49</v>
      </c>
      <c r="C116" s="16">
        <f t="shared" si="4"/>
        <v>4.9142666809774838E-7</v>
      </c>
    </row>
    <row r="117" spans="1:3" x14ac:dyDescent="0.2">
      <c r="A117" s="67" t="s">
        <v>249</v>
      </c>
      <c r="B117" s="71">
        <v>1.0900000000000001</v>
      </c>
      <c r="C117" s="16">
        <f t="shared" si="4"/>
        <v>3.5950004578962806E-7</v>
      </c>
    </row>
    <row r="118" spans="1:3" x14ac:dyDescent="0.2">
      <c r="A118" s="67" t="s">
        <v>250</v>
      </c>
      <c r="B118" s="71">
        <v>0.02</v>
      </c>
      <c r="C118" s="16">
        <f t="shared" si="4"/>
        <v>6.5963311154060193E-9</v>
      </c>
    </row>
    <row r="119" spans="1:3" s="50" customFormat="1" x14ac:dyDescent="0.2">
      <c r="A119" s="67" t="s">
        <v>251</v>
      </c>
      <c r="B119" s="71">
        <f>0.17+0.01</f>
        <v>0.18000000000000002</v>
      </c>
      <c r="C119" s="16">
        <f t="shared" si="4"/>
        <v>5.9366980038654182E-8</v>
      </c>
    </row>
    <row r="120" spans="1:3" s="50" customFormat="1" x14ac:dyDescent="0.2">
      <c r="A120" s="67" t="s">
        <v>40</v>
      </c>
      <c r="B120" s="71">
        <f>30.53+3.53</f>
        <v>34.06</v>
      </c>
      <c r="C120" s="16">
        <f t="shared" si="4"/>
        <v>1.1233551889536452E-5</v>
      </c>
    </row>
    <row r="121" spans="1:3" s="50" customFormat="1" x14ac:dyDescent="0.2">
      <c r="A121" s="67" t="s">
        <v>41</v>
      </c>
      <c r="B121" s="71">
        <f>8.59+0.54</f>
        <v>9.129999999999999</v>
      </c>
      <c r="C121" s="16">
        <f t="shared" si="4"/>
        <v>3.0112251541828474E-6</v>
      </c>
    </row>
    <row r="122" spans="1:3" s="50" customFormat="1" x14ac:dyDescent="0.2">
      <c r="A122" s="67" t="s">
        <v>42</v>
      </c>
      <c r="B122" s="71">
        <v>0.2</v>
      </c>
      <c r="C122" s="16">
        <f t="shared" si="4"/>
        <v>6.5963311154060202E-8</v>
      </c>
    </row>
    <row r="123" spans="1:3" s="50" customFormat="1" x14ac:dyDescent="0.2">
      <c r="A123" s="67" t="s">
        <v>216</v>
      </c>
      <c r="B123" s="71">
        <v>0</v>
      </c>
      <c r="C123" s="16">
        <f t="shared" si="4"/>
        <v>0</v>
      </c>
    </row>
    <row r="124" spans="1:3" s="50" customFormat="1" x14ac:dyDescent="0.2">
      <c r="A124" s="67" t="s">
        <v>217</v>
      </c>
      <c r="B124" s="71">
        <v>0</v>
      </c>
      <c r="C124" s="16">
        <f t="shared" si="4"/>
        <v>0</v>
      </c>
    </row>
    <row r="125" spans="1:3" s="50" customFormat="1" x14ac:dyDescent="0.2">
      <c r="A125" s="67" t="s">
        <v>111</v>
      </c>
      <c r="B125" s="71">
        <f>3.55+0.17</f>
        <v>3.7199999999999998</v>
      </c>
      <c r="C125" s="16">
        <f t="shared" si="4"/>
        <v>1.2269175874655196E-6</v>
      </c>
    </row>
    <row r="126" spans="1:3" s="50" customFormat="1" x14ac:dyDescent="0.2">
      <c r="A126" s="67" t="s">
        <v>187</v>
      </c>
      <c r="B126" s="71">
        <f>2.94+0.23</f>
        <v>3.17</v>
      </c>
      <c r="C126" s="16">
        <f t="shared" si="4"/>
        <v>1.045518481791854E-6</v>
      </c>
    </row>
    <row r="127" spans="1:3" s="50" customFormat="1" x14ac:dyDescent="0.2">
      <c r="A127" s="67" t="s">
        <v>218</v>
      </c>
      <c r="B127" s="71">
        <v>0</v>
      </c>
      <c r="C127" s="16">
        <f t="shared" si="4"/>
        <v>0</v>
      </c>
    </row>
    <row r="128" spans="1:3" s="50" customFormat="1" x14ac:dyDescent="0.2">
      <c r="A128" s="67" t="s">
        <v>179</v>
      </c>
      <c r="B128" s="71">
        <f>0.19+0.01</f>
        <v>0.2</v>
      </c>
      <c r="C128" s="16">
        <f t="shared" si="4"/>
        <v>6.5963311154060202E-8</v>
      </c>
    </row>
    <row r="129" spans="1:4" s="50" customFormat="1" x14ac:dyDescent="0.2">
      <c r="A129" s="67" t="s">
        <v>43</v>
      </c>
      <c r="B129" s="71">
        <v>49.45</v>
      </c>
      <c r="C129" s="16">
        <f t="shared" si="4"/>
        <v>1.6309428682841384E-5</v>
      </c>
    </row>
    <row r="130" spans="1:4" s="50" customFormat="1" x14ac:dyDescent="0.2">
      <c r="A130" s="67" t="s">
        <v>44</v>
      </c>
      <c r="B130" s="71">
        <v>0.49</v>
      </c>
      <c r="C130" s="16">
        <f t="shared" ref="C130:C139" si="5">B130/$B$143</f>
        <v>1.6161011232744746E-7</v>
      </c>
    </row>
    <row r="131" spans="1:4" s="50" customFormat="1" x14ac:dyDescent="0.2">
      <c r="A131" s="67" t="s">
        <v>203</v>
      </c>
      <c r="B131" s="71">
        <f>31.84+0.12</f>
        <v>31.96</v>
      </c>
      <c r="C131" s="16">
        <f t="shared" si="5"/>
        <v>1.054093712241882E-5</v>
      </c>
    </row>
    <row r="132" spans="1:4" s="50" customFormat="1" x14ac:dyDescent="0.2">
      <c r="A132" s="67" t="s">
        <v>45</v>
      </c>
      <c r="B132" s="71">
        <v>16.170000000000002</v>
      </c>
      <c r="C132" s="16">
        <f t="shared" si="5"/>
        <v>5.3331337068057671E-6</v>
      </c>
    </row>
    <row r="133" spans="1:4" s="50" customFormat="1" x14ac:dyDescent="0.2">
      <c r="A133" s="67" t="s">
        <v>46</v>
      </c>
      <c r="B133" s="71">
        <f>23.45+2.36</f>
        <v>25.81</v>
      </c>
      <c r="C133" s="16">
        <f t="shared" si="5"/>
        <v>8.5125653044314675E-6</v>
      </c>
    </row>
    <row r="134" spans="1:4" s="50" customFormat="1" x14ac:dyDescent="0.2">
      <c r="A134" s="67" t="s">
        <v>105</v>
      </c>
      <c r="B134" s="71">
        <v>14.18</v>
      </c>
      <c r="C134" s="16">
        <f t="shared" si="5"/>
        <v>4.6767987608228675E-6</v>
      </c>
    </row>
    <row r="135" spans="1:4" s="50" customFormat="1" x14ac:dyDescent="0.2">
      <c r="A135" s="67" t="s">
        <v>118</v>
      </c>
      <c r="B135" s="71">
        <f>4.07+0.5</f>
        <v>4.57</v>
      </c>
      <c r="C135" s="16">
        <f t="shared" si="5"/>
        <v>1.5072616598702754E-6</v>
      </c>
    </row>
    <row r="136" spans="1:4" s="50" customFormat="1" x14ac:dyDescent="0.2">
      <c r="A136" s="67" t="s">
        <v>137</v>
      </c>
      <c r="B136" s="71">
        <v>0.49</v>
      </c>
      <c r="C136" s="16">
        <f t="shared" si="5"/>
        <v>1.6161011232744746E-7</v>
      </c>
    </row>
    <row r="137" spans="1:4" s="50" customFormat="1" x14ac:dyDescent="0.2">
      <c r="A137" s="67" t="s">
        <v>204</v>
      </c>
      <c r="B137" s="71">
        <f>6.33+0.51</f>
        <v>6.84</v>
      </c>
      <c r="C137" s="16">
        <f t="shared" si="5"/>
        <v>2.2559452414688585E-6</v>
      </c>
    </row>
    <row r="138" spans="1:4" s="56" customFormat="1" x14ac:dyDescent="0.2">
      <c r="A138" s="67" t="s">
        <v>116</v>
      </c>
      <c r="B138" s="71">
        <v>1.22</v>
      </c>
      <c r="C138" s="16">
        <f t="shared" si="5"/>
        <v>4.0237619803976714E-7</v>
      </c>
    </row>
    <row r="139" spans="1:4" s="56" customFormat="1" x14ac:dyDescent="0.2">
      <c r="A139" s="67" t="s">
        <v>117</v>
      </c>
      <c r="B139" s="71">
        <v>0.24</v>
      </c>
      <c r="C139" s="16">
        <f t="shared" si="5"/>
        <v>7.9155973384872229E-8</v>
      </c>
    </row>
    <row r="140" spans="1:4" ht="15" x14ac:dyDescent="0.25">
      <c r="A140" s="28" t="s">
        <v>47</v>
      </c>
      <c r="B140" s="29">
        <f>SUM(B66:B139)</f>
        <v>561.41</v>
      </c>
      <c r="C140" s="31">
        <f>SUM(C66:C139)</f>
        <v>1.8516231257500467E-4</v>
      </c>
      <c r="D140" s="84">
        <f>'נספח 3 - כללי'!B137+'נספח 3-אג"ח'!B36+'נספח 3 - מניות'!B79-B140</f>
        <v>0</v>
      </c>
    </row>
    <row r="141" spans="1:4" ht="15" x14ac:dyDescent="0.25">
      <c r="A141" s="36" t="s">
        <v>48</v>
      </c>
      <c r="B141" s="37">
        <f>B64+B140</f>
        <v>2288.9891400000001</v>
      </c>
      <c r="C141" s="38">
        <f>B141/$B$143</f>
        <v>7.549465143504233E-4</v>
      </c>
    </row>
    <row r="142" spans="1:4" ht="15" x14ac:dyDescent="0.25">
      <c r="A142" s="7" t="s">
        <v>49</v>
      </c>
      <c r="B142" s="41">
        <f>B8+B21+B26+B31+B50+B141</f>
        <v>3532.6593700000003</v>
      </c>
      <c r="C142" s="17">
        <f>B142/$B$143</f>
        <v>1.1651295461230814E-3</v>
      </c>
    </row>
    <row r="143" spans="1:4" ht="15" x14ac:dyDescent="0.25">
      <c r="A143" s="2" t="s">
        <v>50</v>
      </c>
      <c r="B143" s="15">
        <f>'נספח 3 - כללי'!B140+'נספח 3-אג"ח'!B39+'נספח 3 - מניות'!B82</f>
        <v>3031988.4872499998</v>
      </c>
      <c r="C143" s="17">
        <f>B143/$B$143</f>
        <v>1</v>
      </c>
    </row>
  </sheetData>
  <sortState ref="A43:B139">
    <sortCondition ref="A43"/>
  </sortState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12</vt:i4>
      </vt:variant>
    </vt:vector>
  </HeadingPairs>
  <TitlesOfParts>
    <vt:vector size="12" baseType="lpstr">
      <vt:lpstr>נספח 1 - סך התשלומים ששולמו</vt:lpstr>
      <vt:lpstr>נספח 1-כללי</vt:lpstr>
      <vt:lpstr>נספח 1-  אג"ח</vt:lpstr>
      <vt:lpstr>נספח 1- מניות</vt:lpstr>
      <vt:lpstr>נספח 2 - עמלות והוצאות</vt:lpstr>
      <vt:lpstr>נספח 2- כללי</vt:lpstr>
      <vt:lpstr>נספח 2- אג"ח</vt:lpstr>
      <vt:lpstr>נספח 2-מניות</vt:lpstr>
      <vt:lpstr>נספח 3 - עמלות ניהול חיצוני</vt:lpstr>
      <vt:lpstr>נספח 3 - כללי</vt:lpstr>
      <vt:lpstr>נספח 3-אג"ח</vt:lpstr>
      <vt:lpstr>נספח 3 - מניות</vt:lpstr>
    </vt:vector>
  </TitlesOfParts>
  <Company>BLL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udsgf08</dc:creator>
  <cp:lastModifiedBy>dr jacob</cp:lastModifiedBy>
  <dcterms:created xsi:type="dcterms:W3CDTF">2015-05-17T13:07:42Z</dcterms:created>
  <dcterms:modified xsi:type="dcterms:W3CDTF">2020-02-12T18:36:56Z</dcterms:modified>
</cp:coreProperties>
</file>